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iForte\"/>
    </mc:Choice>
  </mc:AlternateContent>
  <xr:revisionPtr revIDLastSave="0" documentId="13_ncr:1_{5E8547B8-2092-4C67-8220-B3B681628E01}" xr6:coauthVersionLast="47" xr6:coauthVersionMax="47" xr10:uidLastSave="{00000000-0000-0000-0000-000000000000}"/>
  <bookViews>
    <workbookView xWindow="-108" yWindow="-108" windowWidth="23256" windowHeight="13176" tabRatio="673" firstSheet="20" activeTab="27" xr2:uid="{7428FE5E-9AF6-452D-BC67-B063DEB1D2FE}"/>
  </bookViews>
  <sheets>
    <sheet name="Employee Basic Salary" sheetId="33" r:id="rId1"/>
    <sheet name="Pivot Table" sheetId="34" r:id="rId2"/>
    <sheet name="Slicer" sheetId="35" r:id="rId3"/>
    <sheet name="Employee" sheetId="32" r:id="rId4"/>
    <sheet name="Apraisal" sheetId="36" r:id="rId5"/>
    <sheet name="Tables" sheetId="18" r:id="rId6"/>
    <sheet name="Data Entry" sheetId="30" r:id="rId7"/>
    <sheet name="Q1" sheetId="20" r:id="rId8"/>
    <sheet name="Q2" sheetId="21" r:id="rId9"/>
    <sheet name="Q3" sheetId="22" r:id="rId10"/>
    <sheet name="Q4" sheetId="23" r:id="rId11"/>
    <sheet name="Yearly" sheetId="37" r:id="rId12"/>
    <sheet name="Yearly (Linked)" sheetId="38" r:id="rId13"/>
    <sheet name="Jan" sheetId="24" r:id="rId14"/>
    <sheet name="Feb" sheetId="25" r:id="rId15"/>
    <sheet name="Mar" sheetId="26" r:id="rId16"/>
    <sheet name="Quater Sales" sheetId="39" r:id="rId17"/>
    <sheet name="Quater Sales (Linked)" sheetId="40" r:id="rId18"/>
    <sheet name="Scenario Summary" sheetId="41" r:id="rId19"/>
    <sheet name="Goal Seek" sheetId="31" r:id="rId20"/>
    <sheet name="Data Table (1 Var)" sheetId="27" r:id="rId21"/>
    <sheet name="Data Table (2 Var)" sheetId="28" r:id="rId22"/>
    <sheet name="Solver" sheetId="29" r:id="rId23"/>
    <sheet name="Solver (Ex1)" sheetId="42" r:id="rId24"/>
    <sheet name="Solver (Ex2)" sheetId="43" r:id="rId25"/>
    <sheet name="Solver (Ex3)" sheetId="44" r:id="rId26"/>
    <sheet name="Solver (Ex4)" sheetId="45" r:id="rId27"/>
    <sheet name="Solver Exercise" sheetId="46" r:id="rId28"/>
  </sheets>
  <definedNames>
    <definedName name="_xlnm._FilterDatabase" localSheetId="3" hidden="1">Employee!$B$2:$L$15</definedName>
    <definedName name="_xlnm.Criteria" localSheetId="3">Employee!#REF!</definedName>
    <definedName name="DeliveryBy" localSheetId="6">'Data Entry'!$C$11</definedName>
    <definedName name="Destination" localSheetId="6">'Data Entry'!$C$13</definedName>
    <definedName name="Discount" localSheetId="6">'Data Entry'!$C$7</definedName>
    <definedName name="EPFEmployee">11%</definedName>
    <definedName name="FeePerClient" localSheetId="20">'Data Table (1 Var)'!$C$4</definedName>
    <definedName name="FeePerClient" localSheetId="21">'Data Table (2 Var)'!$C$4</definedName>
    <definedName name="FinishWorkMahoganyTable" localSheetId="22">Solver!$C$5</definedName>
    <definedName name="FinishWorkMahoganyTable" localSheetId="23">'Solver (Ex1)'!$C$5</definedName>
    <definedName name="FinishWorkMahoganyTable" localSheetId="24">'Solver (Ex2)'!$C$5</definedName>
    <definedName name="FinishWorkMahoganyTable" localSheetId="25">'Solver (Ex3)'!$C$5</definedName>
    <definedName name="FinishWorkMahoganyTable" localSheetId="26">'Solver (Ex4)'!$C$5</definedName>
    <definedName name="FinishWorkMapleTable" localSheetId="22">Solver!$C$4</definedName>
    <definedName name="FinishWorkMapleTable" localSheetId="23">'Solver (Ex1)'!$C$4</definedName>
    <definedName name="FinishWorkMapleTable" localSheetId="24">'Solver (Ex2)'!$C$4</definedName>
    <definedName name="FinishWorkMapleTable" localSheetId="25">'Solver (Ex3)'!$C$4</definedName>
    <definedName name="FinishWorkMapleTable" localSheetId="26">'Solver (Ex4)'!$C$4</definedName>
    <definedName name="FinishWorkPlyTable" localSheetId="24">'Solver (Ex2)'!$C$6</definedName>
    <definedName name="FinishWorkPlyTable" localSheetId="25">'Solver (Ex3)'!$C$6</definedName>
    <definedName name="FinishWorkPlyTable" localSheetId="26">'Solver (Ex4)'!$C$6</definedName>
    <definedName name="GST?" localSheetId="6">'Data Entry'!$C$9</definedName>
    <definedName name="Installment" localSheetId="19">'Goal Seek'!$D$6</definedName>
    <definedName name="LoanAmount" localSheetId="19">'Goal Seek'!$D$3</definedName>
    <definedName name="Marketing" localSheetId="20">'Data Table (1 Var)'!$C$12</definedName>
    <definedName name="Marketing" localSheetId="21">'Data Table (2 Var)'!$C$12</definedName>
    <definedName name="MaxFinishHours" localSheetId="22">Solver!$H$10</definedName>
    <definedName name="MaxFinishHours" localSheetId="23">'Solver (Ex1)'!$H$10</definedName>
    <definedName name="MaxFinishHours" localSheetId="24">'Solver (Ex2)'!$H$11</definedName>
    <definedName name="MaxFinishHours" localSheetId="25">'Solver (Ex3)'!$H$11</definedName>
    <definedName name="MaxFinishHours" localSheetId="26">'Solver (Ex4)'!$H$11</definedName>
    <definedName name="MaxMahoganySupply" localSheetId="22">Solver!$H$11</definedName>
    <definedName name="MaxMahoganySupply" localSheetId="23">'Solver (Ex1)'!$H$11</definedName>
    <definedName name="MaxMahoganySupply" localSheetId="24">'Solver (Ex2)'!$H$12</definedName>
    <definedName name="MaxMahoganySupply" localSheetId="25">'Solver (Ex3)'!$H$12</definedName>
    <definedName name="MaxMahoganySupply" localSheetId="26">'Solver (Ex4)'!$H$12</definedName>
    <definedName name="MaxRoughHours" localSheetId="22">Solver!$H$9</definedName>
    <definedName name="MaxRoughHours" localSheetId="23">'Solver (Ex1)'!$H$9</definedName>
    <definedName name="MaxRoughHours" localSheetId="24">'Solver (Ex2)'!$H$10</definedName>
    <definedName name="MaxRoughHours" localSheetId="25">'Solver (Ex3)'!$H$10</definedName>
    <definedName name="MaxRoughHours" localSheetId="26">'Solver (Ex4)'!$H$10</definedName>
    <definedName name="MinAssembled" localSheetId="22">Solver!$H$12</definedName>
    <definedName name="MinAssembled" localSheetId="23">'Solver (Ex1)'!$H$12</definedName>
    <definedName name="MinAssembled" localSheetId="24">'Solver (Ex2)'!$H$13</definedName>
    <definedName name="MinAssembled" localSheetId="25">'Solver (Ex3)'!$H$13</definedName>
    <definedName name="MinAssembled" localSheetId="26">'Solver (Ex4)'!$H$13</definedName>
    <definedName name="NoOfMahoganyTable" localSheetId="22">Solver!$D$5</definedName>
    <definedName name="NoOfMahoganyTable" localSheetId="23">'Solver (Ex1)'!$D$5</definedName>
    <definedName name="NoOfMahoganyTable" localSheetId="24">'Solver (Ex2)'!$D$5</definedName>
    <definedName name="NoOfMahoganyTable" localSheetId="25">'Solver (Ex3)'!$D$5</definedName>
    <definedName name="NoOfMahoganyTable" localSheetId="26">'Solver (Ex4)'!$D$5</definedName>
    <definedName name="NoOfMapleTable" localSheetId="22">Solver!$D$4</definedName>
    <definedName name="NoOfMapleTable" localSheetId="23">'Solver (Ex1)'!$D$4</definedName>
    <definedName name="NoOfMapleTable" localSheetId="24">'Solver (Ex2)'!$D$4</definedName>
    <definedName name="NoOfMapleTable" localSheetId="25">'Solver (Ex3)'!$D$4</definedName>
    <definedName name="NoOfMapleTable" localSheetId="26">'Solver (Ex4)'!$D$4</definedName>
    <definedName name="NoOfPlywoodTable" localSheetId="24">'Solver (Ex2)'!$D$6</definedName>
    <definedName name="NoOfPlywoodTable" localSheetId="25">'Solver (Ex3)'!$D$6</definedName>
    <definedName name="NoOfPlywoodTable" localSheetId="26">'Solver (Ex4)'!$D$6</definedName>
    <definedName name="NumberOfClients" localSheetId="20">'Data Table (1 Var)'!$C$3</definedName>
    <definedName name="NumberOfClients" localSheetId="21">'Data Table (2 Var)'!$C$3</definedName>
    <definedName name="PerClientCosts" localSheetId="20">'Data Table (1 Var)'!$C$10</definedName>
    <definedName name="PerClientCosts" localSheetId="21">'Data Table (2 Var)'!$C$10</definedName>
    <definedName name="PriceMahoganyTable" localSheetId="22">Solver!$E$5</definedName>
    <definedName name="PriceMahoganyTable" localSheetId="23">'Solver (Ex1)'!$E$5</definedName>
    <definedName name="PriceMahoganyTable" localSheetId="24">'Solver (Ex2)'!$E$5</definedName>
    <definedName name="PriceMahoganyTable" localSheetId="25">'Solver (Ex3)'!$E$5</definedName>
    <definedName name="PriceMahoganyTable" localSheetId="26">'Solver (Ex4)'!$E$5</definedName>
    <definedName name="PriceMapleTable" localSheetId="22">Solver!$E$4</definedName>
    <definedName name="PriceMapleTable" localSheetId="23">'Solver (Ex1)'!$E$4</definedName>
    <definedName name="PriceMapleTable" localSheetId="24">'Solver (Ex2)'!$E$4</definedName>
    <definedName name="PriceMapleTable" localSheetId="25">'Solver (Ex3)'!$E$4</definedName>
    <definedName name="PriceMapleTable" localSheetId="26">'Solver (Ex4)'!$E$4</definedName>
    <definedName name="PricePlywoodTable" localSheetId="24">'Solver (Ex2)'!$E$6</definedName>
    <definedName name="PricePlywoodTable" localSheetId="25">'Solver (Ex3)'!$E$6</definedName>
    <definedName name="PricePlywoodTable" localSheetId="26">'Solver (Ex4)'!$E$6</definedName>
    <definedName name="Profit" localSheetId="20">'Data Table (1 Var)'!$C$15</definedName>
    <definedName name="Profit" localSheetId="21">'Data Table (2 Var)'!$C$15</definedName>
    <definedName name="Quantity" localSheetId="6">'Data Entry'!$C$5</definedName>
    <definedName name="Rate" localSheetId="19">'Goal Seek'!$D$4</definedName>
    <definedName name="Rental" localSheetId="20">'Data Table (1 Var)'!$C$7</definedName>
    <definedName name="Rental" localSheetId="21">'Data Table (2 Var)'!$C$7</definedName>
    <definedName name="RevenueMahoganyTable" localSheetId="22">Solver!$F$5</definedName>
    <definedName name="RevenueMahoganyTable" localSheetId="23">'Solver (Ex1)'!$F$5</definedName>
    <definedName name="RevenueMahoganyTable" localSheetId="24">'Solver (Ex2)'!$F$5</definedName>
    <definedName name="RevenueMahoganyTable" localSheetId="25">'Solver (Ex3)'!$F$5</definedName>
    <definedName name="RevenueMahoganyTable" localSheetId="26">'Solver (Ex4)'!$F$5</definedName>
    <definedName name="RevenueMapleTable" localSheetId="22">Solver!$F$4</definedName>
    <definedName name="RevenueMapleTable" localSheetId="23">'Solver (Ex1)'!$F$4</definedName>
    <definedName name="RevenueMapleTable" localSheetId="24">'Solver (Ex2)'!$F$4</definedName>
    <definedName name="RevenueMapleTable" localSheetId="25">'Solver (Ex3)'!$F$4</definedName>
    <definedName name="RevenueMapleTable" localSheetId="26">'Solver (Ex4)'!$F$4</definedName>
    <definedName name="RevenuePlywoodTable" localSheetId="24">'Solver (Ex2)'!$F$6</definedName>
    <definedName name="RevenuePlywoodTable" localSheetId="25">'Solver (Ex3)'!$F$6</definedName>
    <definedName name="RevenuePlywoodTable" localSheetId="26">'Solver (Ex4)'!$F$6</definedName>
    <definedName name="RoughCarpentryMahoganyTable" localSheetId="22">Solver!$B$5</definedName>
    <definedName name="RoughCarpentryMahoganyTable" localSheetId="23">'Solver (Ex1)'!$B$5</definedName>
    <definedName name="RoughCarpentryMahoganyTable" localSheetId="24">'Solver (Ex2)'!$B$5</definedName>
    <definedName name="RoughCarpentryMahoganyTable" localSheetId="25">'Solver (Ex3)'!$B$5</definedName>
    <definedName name="RoughCarpentryMahoganyTable" localSheetId="26">'Solver (Ex4)'!$B$5</definedName>
    <definedName name="RoughCarpentryMapleTable" localSheetId="22">Solver!$B$4</definedName>
    <definedName name="RoughCarpentryMapleTable" localSheetId="23">'Solver (Ex1)'!$B$4</definedName>
    <definedName name="RoughCarpentryMapleTable" localSheetId="24">'Solver (Ex2)'!$B$4</definedName>
    <definedName name="RoughCarpentryMapleTable" localSheetId="25">'Solver (Ex3)'!$B$4</definedName>
    <definedName name="RoughCarpentryMapleTable" localSheetId="26">'Solver (Ex4)'!$B$4</definedName>
    <definedName name="RoughCarpentryPlywoodTable" localSheetId="24">'Solver (Ex2)'!$B$6</definedName>
    <definedName name="RoughCarpentryPlywoodTable" localSheetId="25">'Solver (Ex3)'!$B$6</definedName>
    <definedName name="RoughCarpentryPlywoodTable" localSheetId="26">'Solver (Ex4)'!$B$6</definedName>
    <definedName name="Slicer_Race">#N/A</definedName>
    <definedName name="solver_adj" localSheetId="23" hidden="1">'Solver (Ex1)'!$D$4:$D$5</definedName>
    <definedName name="solver_adj" localSheetId="24" hidden="1">'Solver (Ex2)'!$D$4:$D$6</definedName>
    <definedName name="solver_adj" localSheetId="25" hidden="1">'Solver (Ex3)'!$D$4:$D$6</definedName>
    <definedName name="solver_adj" localSheetId="26" hidden="1">'Solver (Ex4)'!$D$4:$D$6</definedName>
    <definedName name="solver_cvg" localSheetId="23" hidden="1">0.0001</definedName>
    <definedName name="solver_cvg" localSheetId="24" hidden="1">0.0001</definedName>
    <definedName name="solver_cvg" localSheetId="25" hidden="1">0.0001</definedName>
    <definedName name="solver_cvg" localSheetId="26" hidden="1">0.0001</definedName>
    <definedName name="solver_drv" localSheetId="23" hidden="1">1</definedName>
    <definedName name="solver_drv" localSheetId="24" hidden="1">1</definedName>
    <definedName name="solver_drv" localSheetId="25" hidden="1">1</definedName>
    <definedName name="solver_drv" localSheetId="26" hidden="1">1</definedName>
    <definedName name="solver_eng" localSheetId="23" hidden="1">1</definedName>
    <definedName name="solver_eng" localSheetId="24" hidden="1">1</definedName>
    <definedName name="solver_eng" localSheetId="25" hidden="1">1</definedName>
    <definedName name="solver_eng" localSheetId="26" hidden="1">1</definedName>
    <definedName name="solver_est" localSheetId="23" hidden="1">1</definedName>
    <definedName name="solver_est" localSheetId="24" hidden="1">1</definedName>
    <definedName name="solver_est" localSheetId="25" hidden="1">1</definedName>
    <definedName name="solver_est" localSheetId="26" hidden="1">1</definedName>
    <definedName name="solver_itr" localSheetId="23" hidden="1">2147483647</definedName>
    <definedName name="solver_itr" localSheetId="24" hidden="1">2147483647</definedName>
    <definedName name="solver_itr" localSheetId="25" hidden="1">2147483647</definedName>
    <definedName name="solver_itr" localSheetId="26" hidden="1">2147483647</definedName>
    <definedName name="solver_lhs1" localSheetId="23" hidden="1">'Solver (Ex1)'!$D$5</definedName>
    <definedName name="solver_lhs1" localSheetId="24" hidden="1">'Solver (Ex2)'!$D$5</definedName>
    <definedName name="solver_lhs1" localSheetId="25" hidden="1">'Solver (Ex3)'!$D$5</definedName>
    <definedName name="solver_lhs1" localSheetId="26" hidden="1">'Solver (Ex4)'!$D$5</definedName>
    <definedName name="solver_lhs2" localSheetId="23" hidden="1">'Solver (Ex1)'!$G$4</definedName>
    <definedName name="solver_lhs2" localSheetId="24" hidden="1">'Solver (Ex2)'!$G$4</definedName>
    <definedName name="solver_lhs2" localSheetId="25" hidden="1">'Solver (Ex3)'!$G$4</definedName>
    <definedName name="solver_lhs2" localSheetId="26" hidden="1">'Solver (Ex4)'!$G$4</definedName>
    <definedName name="solver_lhs3" localSheetId="23" hidden="1">'Solver (Ex1)'!$H$4</definedName>
    <definedName name="solver_lhs3" localSheetId="24" hidden="1">'Solver (Ex2)'!$H$4</definedName>
    <definedName name="solver_lhs3" localSheetId="25" hidden="1">'Solver (Ex3)'!$H$4</definedName>
    <definedName name="solver_lhs3" localSheetId="26" hidden="1">'Solver (Ex4)'!$H$4</definedName>
    <definedName name="solver_lhs4" localSheetId="23" hidden="1">'Solver (Ex1)'!$D$6</definedName>
    <definedName name="solver_lhs4" localSheetId="24" hidden="1">'Solver (Ex2)'!$D$7</definedName>
    <definedName name="solver_lhs4" localSheetId="25" hidden="1">'Solver (Ex3)'!$D$7</definedName>
    <definedName name="solver_lhs4" localSheetId="26" hidden="1">'Solver (Ex4)'!$D$7</definedName>
    <definedName name="solver_lhs5" localSheetId="23" hidden="1">'Solver (Ex1)'!$H$4</definedName>
    <definedName name="solver_lhs5" localSheetId="24" hidden="1">'Solver (Ex2)'!$H$4</definedName>
    <definedName name="solver_lhs5" localSheetId="25" hidden="1">'Solver (Ex3)'!$D$7</definedName>
    <definedName name="solver_lhs5" localSheetId="26" hidden="1">'Solver (Ex4)'!$D$7</definedName>
    <definedName name="solver_mip" localSheetId="23" hidden="1">2147483647</definedName>
    <definedName name="solver_mip" localSheetId="24" hidden="1">2147483647</definedName>
    <definedName name="solver_mip" localSheetId="25" hidden="1">2147483647</definedName>
    <definedName name="solver_mip" localSheetId="26" hidden="1">2147483647</definedName>
    <definedName name="solver_mni" localSheetId="23" hidden="1">30</definedName>
    <definedName name="solver_mni" localSheetId="24" hidden="1">30</definedName>
    <definedName name="solver_mni" localSheetId="25" hidden="1">30</definedName>
    <definedName name="solver_mni" localSheetId="26" hidden="1">30</definedName>
    <definedName name="solver_mrt" localSheetId="23" hidden="1">0.075</definedName>
    <definedName name="solver_mrt" localSheetId="24" hidden="1">0.075</definedName>
    <definedName name="solver_mrt" localSheetId="25" hidden="1">0.075</definedName>
    <definedName name="solver_mrt" localSheetId="26" hidden="1">0.075</definedName>
    <definedName name="solver_msl" localSheetId="23" hidden="1">2</definedName>
    <definedName name="solver_msl" localSheetId="24" hidden="1">2</definedName>
    <definedName name="solver_msl" localSheetId="25" hidden="1">2</definedName>
    <definedName name="solver_msl" localSheetId="26" hidden="1">2</definedName>
    <definedName name="solver_neg" localSheetId="23" hidden="1">1</definedName>
    <definedName name="solver_neg" localSheetId="24" hidden="1">1</definedName>
    <definedName name="solver_neg" localSheetId="25" hidden="1">1</definedName>
    <definedName name="solver_neg" localSheetId="26" hidden="1">1</definedName>
    <definedName name="solver_nod" localSheetId="23" hidden="1">2147483647</definedName>
    <definedName name="solver_nod" localSheetId="24" hidden="1">2147483647</definedName>
    <definedName name="solver_nod" localSheetId="25" hidden="1">2147483647</definedName>
    <definedName name="solver_nod" localSheetId="26" hidden="1">2147483647</definedName>
    <definedName name="solver_num" localSheetId="23" hidden="1">4</definedName>
    <definedName name="solver_num" localSheetId="24" hidden="1">4</definedName>
    <definedName name="solver_num" localSheetId="25" hidden="1">5</definedName>
    <definedName name="solver_num" localSheetId="26" hidden="1">5</definedName>
    <definedName name="solver_nwt" localSheetId="23" hidden="1">1</definedName>
    <definedName name="solver_nwt" localSheetId="24" hidden="1">1</definedName>
    <definedName name="solver_nwt" localSheetId="25" hidden="1">1</definedName>
    <definedName name="solver_nwt" localSheetId="26" hidden="1">1</definedName>
    <definedName name="solver_opt" localSheetId="23" hidden="1">'Solver (Ex1)'!$F$6</definedName>
    <definedName name="solver_opt" localSheetId="24" hidden="1">'Solver (Ex2)'!$F$7</definedName>
    <definedName name="solver_opt" localSheetId="25" hidden="1">'Solver (Ex3)'!$F$7</definedName>
    <definedName name="solver_opt" localSheetId="26" hidden="1">'Solver (Ex4)'!$F$7</definedName>
    <definedName name="solver_pre" localSheetId="23" hidden="1">0.000001</definedName>
    <definedName name="solver_pre" localSheetId="24" hidden="1">0.000001</definedName>
    <definedName name="solver_pre" localSheetId="25" hidden="1">0.000001</definedName>
    <definedName name="solver_pre" localSheetId="26" hidden="1">0.000001</definedName>
    <definedName name="solver_rbv" localSheetId="23" hidden="1">1</definedName>
    <definedName name="solver_rbv" localSheetId="24" hidden="1">1</definedName>
    <definedName name="solver_rbv" localSheetId="25" hidden="1">1</definedName>
    <definedName name="solver_rbv" localSheetId="26" hidden="1">1</definedName>
    <definedName name="solver_rel1" localSheetId="23" hidden="1">1</definedName>
    <definedName name="solver_rel1" localSheetId="24" hidden="1">1</definedName>
    <definedName name="solver_rel1" localSheetId="25" hidden="1">1</definedName>
    <definedName name="solver_rel1" localSheetId="26" hidden="1">1</definedName>
    <definedName name="solver_rel2" localSheetId="23" hidden="1">1</definedName>
    <definedName name="solver_rel2" localSheetId="24" hidden="1">1</definedName>
    <definedName name="solver_rel2" localSheetId="25" hidden="1">1</definedName>
    <definedName name="solver_rel2" localSheetId="26" hidden="1">1</definedName>
    <definedName name="solver_rel3" localSheetId="23" hidden="1">1</definedName>
    <definedName name="solver_rel3" localSheetId="24" hidden="1">1</definedName>
    <definedName name="solver_rel3" localSheetId="25" hidden="1">1</definedName>
    <definedName name="solver_rel3" localSheetId="26" hidden="1">1</definedName>
    <definedName name="solver_rel4" localSheetId="23" hidden="1">3</definedName>
    <definedName name="solver_rel4" localSheetId="24" hidden="1">3</definedName>
    <definedName name="solver_rel4" localSheetId="25" hidden="1">1</definedName>
    <definedName name="solver_rel4" localSheetId="26" hidden="1">1</definedName>
    <definedName name="solver_rel5" localSheetId="23" hidden="1">1</definedName>
    <definedName name="solver_rel5" localSheetId="24" hidden="1">1</definedName>
    <definedName name="solver_rel5" localSheetId="25" hidden="1">3</definedName>
    <definedName name="solver_rel5" localSheetId="26" hidden="1">3</definedName>
    <definedName name="solver_rhs1" localSheetId="23" hidden="1">'Solver (Ex1)'!$H$11</definedName>
    <definedName name="solver_rhs1" localSheetId="24" hidden="1">'Solver (Ex2)'!$H$12</definedName>
    <definedName name="solver_rhs1" localSheetId="25" hidden="1">'Solver (Ex3)'!$H$12</definedName>
    <definedName name="solver_rhs1" localSheetId="26" hidden="1">'Solver (Ex4)'!$H$12</definedName>
    <definedName name="solver_rhs2" localSheetId="23" hidden="1">'Solver (Ex1)'!$H$10</definedName>
    <definedName name="solver_rhs2" localSheetId="24" hidden="1">'Solver (Ex2)'!$H$11</definedName>
    <definedName name="solver_rhs2" localSheetId="25" hidden="1">'Solver (Ex3)'!$H$11</definedName>
    <definedName name="solver_rhs2" localSheetId="26" hidden="1">'Solver (Ex4)'!$H$11</definedName>
    <definedName name="solver_rhs3" localSheetId="23" hidden="1">'Solver (Ex1)'!$H$9</definedName>
    <definedName name="solver_rhs3" localSheetId="24" hidden="1">'Solver (Ex2)'!$H$10</definedName>
    <definedName name="solver_rhs3" localSheetId="25" hidden="1">'Solver (Ex3)'!$H$10</definedName>
    <definedName name="solver_rhs3" localSheetId="26" hidden="1">'Solver (Ex4)'!$H$10</definedName>
    <definedName name="solver_rhs4" localSheetId="23" hidden="1">'Solver (Ex1)'!$H$12</definedName>
    <definedName name="solver_rhs4" localSheetId="24" hidden="1">'Solver (Ex2)'!$H$13</definedName>
    <definedName name="solver_rhs4" localSheetId="25" hidden="1">'Solver (Ex3)'!$H$14</definedName>
    <definedName name="solver_rhs4" localSheetId="26" hidden="1">'Solver (Ex4)'!$H$14</definedName>
    <definedName name="solver_rhs5" localSheetId="23" hidden="1">'Solver (Ex1)'!$H$9</definedName>
    <definedName name="solver_rhs5" localSheetId="24" hidden="1">'Solver (Ex2)'!$H$10</definedName>
    <definedName name="solver_rhs5" localSheetId="25" hidden="1">'Solver (Ex3)'!$H$13</definedName>
    <definedName name="solver_rhs5" localSheetId="26" hidden="1">'Solver (Ex4)'!$H$13</definedName>
    <definedName name="solver_rlx" localSheetId="23" hidden="1">2</definedName>
    <definedName name="solver_rlx" localSheetId="24" hidden="1">2</definedName>
    <definedName name="solver_rlx" localSheetId="25" hidden="1">2</definedName>
    <definedName name="solver_rlx" localSheetId="26" hidden="1">2</definedName>
    <definedName name="solver_rsd" localSheetId="23" hidden="1">0</definedName>
    <definedName name="solver_rsd" localSheetId="24" hidden="1">0</definedName>
    <definedName name="solver_rsd" localSheetId="25" hidden="1">0</definedName>
    <definedName name="solver_rsd" localSheetId="26" hidden="1">0</definedName>
    <definedName name="solver_scl" localSheetId="23" hidden="1">1</definedName>
    <definedName name="solver_scl" localSheetId="24" hidden="1">1</definedName>
    <definedName name="solver_scl" localSheetId="25" hidden="1">1</definedName>
    <definedName name="solver_scl" localSheetId="26" hidden="1">1</definedName>
    <definedName name="solver_sho" localSheetId="23" hidden="1">2</definedName>
    <definedName name="solver_sho" localSheetId="24" hidden="1">2</definedName>
    <definedName name="solver_sho" localSheetId="25" hidden="1">2</definedName>
    <definedName name="solver_sho" localSheetId="26" hidden="1">2</definedName>
    <definedName name="solver_ssz" localSheetId="23" hidden="1">100</definedName>
    <definedName name="solver_ssz" localSheetId="24" hidden="1">100</definedName>
    <definedName name="solver_ssz" localSheetId="25" hidden="1">100</definedName>
    <definedName name="solver_ssz" localSheetId="26" hidden="1">100</definedName>
    <definedName name="solver_tim" localSheetId="23" hidden="1">2147483647</definedName>
    <definedName name="solver_tim" localSheetId="24" hidden="1">2147483647</definedName>
    <definedName name="solver_tim" localSheetId="25" hidden="1">2147483647</definedName>
    <definedName name="solver_tim" localSheetId="26" hidden="1">2147483647</definedName>
    <definedName name="solver_tol" localSheetId="23" hidden="1">0.01</definedName>
    <definedName name="solver_tol" localSheetId="24" hidden="1">0.01</definedName>
    <definedName name="solver_tol" localSheetId="25" hidden="1">0.01</definedName>
    <definedName name="solver_tol" localSheetId="26" hidden="1">0.01</definedName>
    <definedName name="solver_typ" localSheetId="23" hidden="1">1</definedName>
    <definedName name="solver_typ" localSheetId="24" hidden="1">1</definedName>
    <definedName name="solver_typ" localSheetId="25" hidden="1">1</definedName>
    <definedName name="solver_typ" localSheetId="26" hidden="1">1</definedName>
    <definedName name="solver_val" localSheetId="23" hidden="1">0</definedName>
    <definedName name="solver_val" localSheetId="24" hidden="1">0</definedName>
    <definedName name="solver_val" localSheetId="25" hidden="1">0</definedName>
    <definedName name="solver_val" localSheetId="26" hidden="1">0</definedName>
    <definedName name="solver_ver" localSheetId="23" hidden="1">3</definedName>
    <definedName name="solver_ver" localSheetId="24" hidden="1">3</definedName>
    <definedName name="solver_ver" localSheetId="25" hidden="1">3</definedName>
    <definedName name="solver_ver" localSheetId="26" hidden="1">3</definedName>
    <definedName name="SubTotal1" localSheetId="6">'Data Entry'!$C$6</definedName>
    <definedName name="SubTotal2" localSheetId="6">'Data Entry'!$C$8</definedName>
    <definedName name="SubTotal3" localSheetId="6">'Data Entry'!$C$10</definedName>
    <definedName name="SubTotal4" localSheetId="6">'Data Entry'!$C$12</definedName>
    <definedName name="Terms" localSheetId="19">'Goal Seek'!$D$5</definedName>
    <definedName name="TotalCosts" localSheetId="20">'Data Table (1 Var)'!$C$11</definedName>
    <definedName name="TotalCosts" localSheetId="21">'Data Table (2 Var)'!$C$11</definedName>
    <definedName name="TotalExpensus" localSheetId="20">'Data Table (1 Var)'!$C$13</definedName>
    <definedName name="TotalExpensus" localSheetId="21">'Data Table (2 Var)'!$C$13</definedName>
    <definedName name="TotalFinishWorkHours" localSheetId="22">Solver!$G$4</definedName>
    <definedName name="TotalFinishWorkHours" localSheetId="23">'Solver (Ex1)'!$G$4</definedName>
    <definedName name="TotalFinishWorkHours" localSheetId="24">'Solver (Ex2)'!$G$4</definedName>
    <definedName name="TotalFinishWorkHours" localSheetId="25">'Solver (Ex3)'!$G$4</definedName>
    <definedName name="TotalFinishWorkHours" localSheetId="26">'Solver (Ex4)'!$G$4</definedName>
    <definedName name="TotalIncome" localSheetId="20">'Data Table (1 Var)'!$C$5</definedName>
    <definedName name="TotalIncome" localSheetId="21">'Data Table (2 Var)'!$C$5</definedName>
    <definedName name="TotalRevenue" localSheetId="22">Solver!$F$6</definedName>
    <definedName name="TotalRevenue" localSheetId="23">'Solver (Ex1)'!$F$6</definedName>
    <definedName name="TotalRevenue" localSheetId="24">'Solver (Ex2)'!$F$7</definedName>
    <definedName name="TotalRevenue" localSheetId="25">'Solver (Ex3)'!$F$7</definedName>
    <definedName name="TotalRevenue" localSheetId="26">'Solver (Ex4)'!$F$7</definedName>
    <definedName name="TotalRoughWorkHours" localSheetId="22">Solver!$H$4</definedName>
    <definedName name="TotalRoughWorkHours" localSheetId="23">'Solver (Ex1)'!$H$4</definedName>
    <definedName name="TotalRoughWorkHours" localSheetId="24">'Solver (Ex2)'!$H$4</definedName>
    <definedName name="TotalRoughWorkHours" localSheetId="25">'Solver (Ex3)'!$H$4</definedName>
    <definedName name="TotalRoughWorkHours" localSheetId="26">'Solver (Ex4)'!$H$4</definedName>
    <definedName name="TotalTablesAssembled" localSheetId="22">Solver!$D$6</definedName>
    <definedName name="TotalTablesAssembled" localSheetId="23">'Solver (Ex1)'!$D$6</definedName>
    <definedName name="TotalTablesAssembled" localSheetId="24">'Solver (Ex2)'!$D$7</definedName>
    <definedName name="TotalTablesAssembled" localSheetId="25">'Solver (Ex3)'!$D$7</definedName>
    <definedName name="TotalTablesAssembled" localSheetId="26">'Solver (Ex4)'!$D$7</definedName>
    <definedName name="UnitPrice" localSheetId="6">'Data Entry'!$C$4</definedName>
    <definedName name="Utilities" localSheetId="20">'Data Table (1 Var)'!$C$8</definedName>
    <definedName name="Utilities" localSheetId="21">'Data Table (2 Var)'!$C$8</definedName>
    <definedName name="Wages" localSheetId="20">'Data Table (1 Var)'!$C$9</definedName>
    <definedName name="Wages" localSheetId="21">'Data Table (2 Var)'!$C$9</definedName>
    <definedName name="WarehouseCapacity" localSheetId="25">'Solver (Ex3)'!$H$14</definedName>
    <definedName name="WarehouseCapacity" localSheetId="26">'Solver (Ex4)'!$H$14</definedName>
  </definedNames>
  <calcPr calcId="191029"/>
  <pivotCaches>
    <pivotCache cacheId="16" r:id="rId29"/>
  </pivotCaches>
  <extLst>
    <ext xmlns:x14="http://schemas.microsoft.com/office/spreadsheetml/2009/9/main" uri="{BBE1A952-AA13-448e-AADC-164F8A28A991}">
      <x14:slicerCaches>
        <x14:slicerCache r:id="rId3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45" l="1"/>
  <c r="F6" i="45"/>
  <c r="F5" i="45"/>
  <c r="H4" i="45"/>
  <c r="G4" i="45"/>
  <c r="F4" i="45"/>
  <c r="D7" i="44"/>
  <c r="F6" i="44"/>
  <c r="F5" i="44"/>
  <c r="H4" i="44"/>
  <c r="G4" i="44"/>
  <c r="F4" i="44"/>
  <c r="H4" i="43"/>
  <c r="G4" i="43"/>
  <c r="D7" i="43"/>
  <c r="F6" i="43"/>
  <c r="F5" i="43"/>
  <c r="F4" i="43"/>
  <c r="D6" i="42"/>
  <c r="F5" i="42"/>
  <c r="H4" i="42"/>
  <c r="G4" i="42"/>
  <c r="F4" i="42"/>
  <c r="C11" i="27"/>
  <c r="C13" i="27" s="1"/>
  <c r="C5" i="27"/>
  <c r="D6" i="31"/>
  <c r="F5" i="31"/>
  <c r="C3" i="40"/>
  <c r="C6" i="40" s="1"/>
  <c r="C4" i="40"/>
  <c r="D4" i="40"/>
  <c r="D5" i="40"/>
  <c r="F5" i="40"/>
  <c r="D6" i="40"/>
  <c r="F6" i="40"/>
  <c r="C7" i="40"/>
  <c r="C8" i="40" s="1"/>
  <c r="D10" i="40"/>
  <c r="F10" i="40"/>
  <c r="D11" i="40"/>
  <c r="F11" i="40"/>
  <c r="B2" i="38"/>
  <c r="B6" i="38" s="1"/>
  <c r="E6" i="38" s="1"/>
  <c r="C2" i="38"/>
  <c r="D2" i="38"/>
  <c r="B3" i="38"/>
  <c r="C3" i="38"/>
  <c r="D3" i="38"/>
  <c r="B4" i="38"/>
  <c r="C4" i="38"/>
  <c r="C6" i="38" s="1"/>
  <c r="D4" i="38"/>
  <c r="B5" i="38"/>
  <c r="C5" i="38"/>
  <c r="D5" i="38"/>
  <c r="D6" i="38"/>
  <c r="B7" i="38"/>
  <c r="B11" i="38" s="1"/>
  <c r="C7" i="38"/>
  <c r="D7" i="38"/>
  <c r="B8" i="38"/>
  <c r="C8" i="38"/>
  <c r="D8" i="38"/>
  <c r="B9" i="38"/>
  <c r="C9" i="38"/>
  <c r="C11" i="38" s="1"/>
  <c r="D9" i="38"/>
  <c r="D11" i="38" s="1"/>
  <c r="E11" i="38" s="1"/>
  <c r="B10" i="38"/>
  <c r="C10" i="38"/>
  <c r="D10" i="38"/>
  <c r="B12" i="38"/>
  <c r="B16" i="38" s="1"/>
  <c r="C12" i="38"/>
  <c r="C16" i="38" s="1"/>
  <c r="D12" i="38"/>
  <c r="B13" i="38"/>
  <c r="C13" i="38"/>
  <c r="D13" i="38"/>
  <c r="B14" i="38"/>
  <c r="C14" i="38"/>
  <c r="D14" i="38"/>
  <c r="D16" i="38" s="1"/>
  <c r="B15" i="38"/>
  <c r="C15" i="38"/>
  <c r="D15" i="38"/>
  <c r="E4" i="37"/>
  <c r="E3" i="37"/>
  <c r="E2" i="37"/>
  <c r="E2" i="20"/>
  <c r="C8" i="36"/>
  <c r="H8" i="36"/>
  <c r="I8" i="36" s="1"/>
  <c r="C7" i="36"/>
  <c r="H7" i="36"/>
  <c r="I7" i="36" s="1"/>
  <c r="C6" i="36"/>
  <c r="H6" i="36"/>
  <c r="I6" i="36" s="1"/>
  <c r="C5" i="36"/>
  <c r="H5" i="36"/>
  <c r="I5" i="36" s="1"/>
  <c r="H3" i="36"/>
  <c r="I3" i="36" s="1"/>
  <c r="H4" i="36"/>
  <c r="I4" i="36" s="1"/>
  <c r="C3" i="36"/>
  <c r="C4" i="36"/>
  <c r="F7" i="45" l="1"/>
  <c r="F7" i="44"/>
  <c r="F7" i="43"/>
  <c r="F6" i="42"/>
  <c r="C15" i="27"/>
  <c r="E16" i="38"/>
  <c r="K3" i="32" a="1"/>
  <c r="K3" i="32" s="1"/>
  <c r="K4" i="32" a="1"/>
  <c r="K4" i="32" s="1"/>
  <c r="K5" i="32" a="1"/>
  <c r="K5" i="32" s="1"/>
  <c r="K6" i="32" a="1"/>
  <c r="K6" i="32" s="1"/>
  <c r="K7" i="32" a="1"/>
  <c r="K7" i="32" s="1"/>
  <c r="K8" i="32" a="1"/>
  <c r="K8" i="32" s="1"/>
  <c r="K9" i="32" a="1"/>
  <c r="K9" i="32" s="1"/>
  <c r="K10" i="32" a="1"/>
  <c r="K10" i="32" s="1"/>
  <c r="K11" i="32" a="1"/>
  <c r="K11" i="32" s="1"/>
  <c r="K12" i="32" a="1"/>
  <c r="K12" i="32" s="1"/>
  <c r="K13" i="32" a="1"/>
  <c r="K13" i="32" s="1"/>
  <c r="K14" i="32" a="1"/>
  <c r="K14" i="32" s="1"/>
  <c r="K15" i="32" a="1"/>
  <c r="K15" i="32" s="1"/>
  <c r="L15" i="32"/>
  <c r="J15" i="32"/>
  <c r="L14" i="32"/>
  <c r="J14" i="32"/>
  <c r="L13" i="32"/>
  <c r="J13" i="32"/>
  <c r="L12" i="32"/>
  <c r="J12" i="32"/>
  <c r="L11" i="32"/>
  <c r="J11" i="32"/>
  <c r="L10" i="32"/>
  <c r="J10" i="32"/>
  <c r="L9" i="32"/>
  <c r="J9" i="32"/>
  <c r="L8" i="32"/>
  <c r="J8" i="32"/>
  <c r="L7" i="32"/>
  <c r="J7" i="32"/>
  <c r="L6" i="32"/>
  <c r="J6" i="32"/>
  <c r="L5" i="32"/>
  <c r="J5" i="32"/>
  <c r="L4" i="32"/>
  <c r="J4" i="32"/>
  <c r="L3" i="32"/>
  <c r="J3" i="32"/>
  <c r="C6" i="30" l="1"/>
  <c r="C8" i="30" s="1"/>
  <c r="C10" i="30" s="1"/>
  <c r="C12" i="30" s="1"/>
  <c r="C14" i="30" s="1"/>
  <c r="D6" i="29"/>
  <c r="F5" i="29"/>
  <c r="H4" i="29"/>
  <c r="G4" i="29"/>
  <c r="F4" i="29"/>
  <c r="C11" i="28"/>
  <c r="C13" i="28" s="1"/>
  <c r="C5" i="28"/>
  <c r="G4" i="27"/>
  <c r="F6" i="29" l="1"/>
  <c r="C15" i="28"/>
  <c r="E4" i="28" s="1"/>
  <c r="H4" i="27"/>
  <c r="F4" i="27"/>
  <c r="E4" i="23" l="1"/>
  <c r="E3" i="23"/>
  <c r="E2" i="23"/>
  <c r="E4" i="22"/>
  <c r="E3" i="22"/>
  <c r="E2" i="22"/>
  <c r="F8" i="21"/>
  <c r="F7" i="21"/>
  <c r="F6" i="21"/>
  <c r="E4" i="20"/>
  <c r="E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9BCE5B56-A699-4603-BF50-D0EAB27BF575}">
      <text/>
    </comment>
    <comment ref="C13" authorId="0" shapeId="0" xr:uid="{9F5A9816-C069-4897-87FD-D82E4A62A805}">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4" authorId="0" shapeId="0" xr:uid="{B54C4107-5EF8-4E18-8E04-9841C2E8AF1E}">
      <text/>
    </comment>
    <comment ref="A5" authorId="0" shapeId="0" xr:uid="{67E7B8E2-CEDF-4C5C-B9BC-8A7039F41105}">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4" authorId="0" shapeId="0" xr:uid="{E33339EF-EDCF-458A-8613-8E979DDAFD94}">
      <text/>
    </comment>
    <comment ref="A5" authorId="0" shapeId="0" xr:uid="{4820E37F-9C60-4EF3-94CB-A851DA1648B1}">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4" authorId="0" shapeId="0" xr:uid="{6FE45961-2DF5-400A-BA02-F8CAA070E544}">
      <text/>
    </comment>
    <comment ref="A5" authorId="0" shapeId="0" xr:uid="{808ACC31-CA07-40E8-8905-F580DEDCB6A9}">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4" authorId="0" shapeId="0" xr:uid="{09038382-52EA-4C28-8A49-CB47AFC602C9}">
      <text/>
    </comment>
    <comment ref="A5" authorId="0" shapeId="0" xr:uid="{652BB55B-909A-4D5A-86F2-F7534C3A2A2C}">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4" authorId="0" shapeId="0" xr:uid="{6D27BD34-C131-4B15-AB54-15144DA4B387}">
      <text/>
    </comment>
    <comment ref="A5" authorId="0" shapeId="0" xr:uid="{C54BAB37-295E-477B-A12E-2FA25669C1FE}">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<sst xmlns="http://schemas.openxmlformats.org/spreadsheetml/2006/main" count="384" uniqueCount="163">
  <si>
    <t>Rate:</t>
  </si>
  <si>
    <t>Name</t>
  </si>
  <si>
    <t>Sales</t>
  </si>
  <si>
    <t>HR</t>
  </si>
  <si>
    <t>IT</t>
  </si>
  <si>
    <t>Ali</t>
  </si>
  <si>
    <t>Abu</t>
  </si>
  <si>
    <t>Azizi</t>
  </si>
  <si>
    <t>Finance</t>
  </si>
  <si>
    <t>Operation</t>
  </si>
  <si>
    <t>Total</t>
  </si>
  <si>
    <t>Information Technology</t>
  </si>
  <si>
    <t>Human Resource</t>
  </si>
  <si>
    <t>FN</t>
  </si>
  <si>
    <t>SA</t>
  </si>
  <si>
    <t>OP</t>
  </si>
  <si>
    <t>RD</t>
  </si>
  <si>
    <t>Research &amp; Development</t>
  </si>
  <si>
    <t>Malay</t>
  </si>
  <si>
    <t>Chinese</t>
  </si>
  <si>
    <t>Indian</t>
  </si>
  <si>
    <t>Race Name</t>
  </si>
  <si>
    <t>Average Performance</t>
  </si>
  <si>
    <t>Action</t>
  </si>
  <si>
    <t>Warning Letter</t>
  </si>
  <si>
    <t xml:space="preserve"> </t>
  </si>
  <si>
    <t>Increase Salary</t>
  </si>
  <si>
    <t>Promotion</t>
  </si>
  <si>
    <t>Increase Salary + Promotion</t>
  </si>
  <si>
    <t>By</t>
  </si>
  <si>
    <t>Cost</t>
  </si>
  <si>
    <t>Duration</t>
  </si>
  <si>
    <t>Ship</t>
  </si>
  <si>
    <t>30~40 Days</t>
  </si>
  <si>
    <t>Train</t>
  </si>
  <si>
    <t>10~15 Days</t>
  </si>
  <si>
    <t>Plane</t>
  </si>
  <si>
    <t>2~5 Days</t>
  </si>
  <si>
    <t>Country</t>
  </si>
  <si>
    <t>Tax</t>
  </si>
  <si>
    <t>Japan</t>
  </si>
  <si>
    <t>Singapore</t>
  </si>
  <si>
    <t>Australia</t>
  </si>
  <si>
    <t>Indonesia</t>
  </si>
  <si>
    <t>India</t>
  </si>
  <si>
    <t>Region</t>
  </si>
  <si>
    <t>Profit</t>
  </si>
  <si>
    <t>Expensus</t>
  </si>
  <si>
    <t>Budget</t>
  </si>
  <si>
    <t>North</t>
  </si>
  <si>
    <t>Center</t>
  </si>
  <si>
    <t>South</t>
  </si>
  <si>
    <t>Unit Product Sold</t>
  </si>
  <si>
    <t>Afendi</t>
  </si>
  <si>
    <t>Aminah</t>
  </si>
  <si>
    <t>Income</t>
  </si>
  <si>
    <t>Number of Clients</t>
  </si>
  <si>
    <t>Hypotheical Clients</t>
  </si>
  <si>
    <t>Total Income</t>
  </si>
  <si>
    <t>Total Expensus</t>
  </si>
  <si>
    <t>Total Profit</t>
  </si>
  <si>
    <t>Fee Per Client</t>
  </si>
  <si>
    <t>Rental</t>
  </si>
  <si>
    <t>Utilities</t>
  </si>
  <si>
    <t>Wages</t>
  </si>
  <si>
    <t>Per Client Costs</t>
  </si>
  <si>
    <t>Total Costs</t>
  </si>
  <si>
    <t>Marketing</t>
  </si>
  <si>
    <t>No of Clients</t>
  </si>
  <si>
    <t>Client Fees</t>
  </si>
  <si>
    <t>Table Type</t>
  </si>
  <si>
    <t>Rough Carpentry</t>
  </si>
  <si>
    <t>Finish Work</t>
  </si>
  <si>
    <t>#Assembled</t>
  </si>
  <si>
    <t>Price</t>
  </si>
  <si>
    <t>Revenue</t>
  </si>
  <si>
    <t>Finish work hours</t>
  </si>
  <si>
    <t>Rough work hours</t>
  </si>
  <si>
    <t>Maple Table</t>
  </si>
  <si>
    <t>Mahogany Table</t>
  </si>
  <si>
    <t>Constraints</t>
  </si>
  <si>
    <r>
      <t>Total rough hours</t>
    </r>
    <r>
      <rPr>
        <b/>
        <sz val="11"/>
        <color rgb="FFC00000"/>
        <rFont val="Calibri"/>
        <family val="2"/>
      </rPr>
      <t>≤</t>
    </r>
  </si>
  <si>
    <r>
      <t>Total finish hours</t>
    </r>
    <r>
      <rPr>
        <b/>
        <sz val="11"/>
        <color rgb="FFC00000"/>
        <rFont val="Calibri"/>
        <family val="2"/>
        <scheme val="minor"/>
      </rPr>
      <t>≤</t>
    </r>
  </si>
  <si>
    <r>
      <t>Mahogany supply</t>
    </r>
    <r>
      <rPr>
        <b/>
        <sz val="11"/>
        <color rgb="FFC00000"/>
        <rFont val="Calibri"/>
        <family val="2"/>
        <scheme val="minor"/>
      </rPr>
      <t>≤</t>
    </r>
  </si>
  <si>
    <r>
      <t># assembled</t>
    </r>
    <r>
      <rPr>
        <b/>
        <sz val="11"/>
        <color rgb="FFC00000"/>
        <rFont val="Calibri"/>
        <family val="2"/>
      </rPr>
      <t>≥</t>
    </r>
  </si>
  <si>
    <t>Unit Price:</t>
  </si>
  <si>
    <t>Quantity:</t>
  </si>
  <si>
    <t>SubTotal1:</t>
  </si>
  <si>
    <t>Discount:</t>
  </si>
  <si>
    <t>SubTotal2:</t>
  </si>
  <si>
    <t>GST?:</t>
  </si>
  <si>
    <t>SubTotal3:</t>
  </si>
  <si>
    <t>Delivery By:</t>
  </si>
  <si>
    <t>SubTotal4:</t>
  </si>
  <si>
    <t>Destination:</t>
  </si>
  <si>
    <t>Total:</t>
  </si>
  <si>
    <t>%</t>
  </si>
  <si>
    <t>Loan Amount:</t>
  </si>
  <si>
    <t>Terms:</t>
  </si>
  <si>
    <t>Installment:</t>
  </si>
  <si>
    <t>Years</t>
  </si>
  <si>
    <t>DID</t>
  </si>
  <si>
    <t>EID</t>
  </si>
  <si>
    <t>Gender</t>
  </si>
  <si>
    <t>Department</t>
  </si>
  <si>
    <t>Race</t>
  </si>
  <si>
    <t>Supervisor</t>
  </si>
  <si>
    <t>Age</t>
  </si>
  <si>
    <t>Basic Salary</t>
  </si>
  <si>
    <t>Chart</t>
  </si>
  <si>
    <t>Monthly Salary</t>
  </si>
  <si>
    <t>EPF</t>
  </si>
  <si>
    <t>Tong Sam Pah</t>
  </si>
  <si>
    <t>M</t>
  </si>
  <si>
    <t>Yong Tau Foo</t>
  </si>
  <si>
    <t>Low Mee</t>
  </si>
  <si>
    <t>F</t>
  </si>
  <si>
    <t>Low Shi Fun</t>
  </si>
  <si>
    <t>Ahmad</t>
  </si>
  <si>
    <t>Aaron</t>
  </si>
  <si>
    <t>Ah Chong</t>
  </si>
  <si>
    <t>Shila Hamzah</t>
  </si>
  <si>
    <t>Narayanan</t>
  </si>
  <si>
    <t>Fatimah</t>
  </si>
  <si>
    <t>Row Labels</t>
  </si>
  <si>
    <t>Grand Total</t>
  </si>
  <si>
    <t>Jumlah KWSP Dibayar</t>
  </si>
  <si>
    <t>Sum of Basic Salary</t>
  </si>
  <si>
    <t>Column Labels</t>
  </si>
  <si>
    <t>(Multiple Items)</t>
  </si>
  <si>
    <t>(blank)</t>
  </si>
  <si>
    <t>Average of Age</t>
  </si>
  <si>
    <t>Q1</t>
  </si>
  <si>
    <t>Q2</t>
  </si>
  <si>
    <t>Q3</t>
  </si>
  <si>
    <t>Q4</t>
  </si>
  <si>
    <t>Average</t>
  </si>
  <si>
    <t>Trend</t>
  </si>
  <si>
    <t xml:space="preserve">                 Durian
Sales Person</t>
  </si>
  <si>
    <t>Musang King</t>
  </si>
  <si>
    <t>Black Thorn</t>
  </si>
  <si>
    <t>D24</t>
  </si>
  <si>
    <t>Tekka</t>
  </si>
  <si>
    <t>Udang Merah</t>
  </si>
  <si>
    <t>Day1</t>
  </si>
  <si>
    <t>LoanAmount</t>
  </si>
  <si>
    <t>Rate</t>
  </si>
  <si>
    <t>Terms</t>
  </si>
  <si>
    <t>Installment</t>
  </si>
  <si>
    <t>Base</t>
  </si>
  <si>
    <t>Created by user on 7/17/2025</t>
  </si>
  <si>
    <t>Shortest Settlement</t>
  </si>
  <si>
    <t>Max Loan</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</si>
  <si>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</si>
  <si>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</si>
  <si>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</si>
  <si>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</si>
  <si>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</si>
  <si>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</si>
  <si>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</si>
  <si>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Plywood Table</t>
  </si>
  <si>
    <r>
      <t>Total No of Tables</t>
    </r>
    <r>
      <rPr>
        <b/>
        <sz val="11"/>
        <color rgb="FFC00000"/>
        <rFont val="Calibri"/>
        <family val="2"/>
        <scheme val="minor"/>
      </rPr>
      <t>≤</t>
    </r>
  </si>
  <si>
    <t>https://www.excel-easy.com/data-analysis/solver.html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</si>
</sst>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409]* #,##0.00_);_([$$-409]* \(#,##0.00\);_([$$-409]*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5" tint="0.79998168889431442"/>
      <name val="Calibri"/>
      <family val="2"/>
      <scheme val="minor"/>
    </font>
    <font>
      <b/>
      <sz val="11"/>
      <color rgb="FFC00000"/>
      <name val="Calibri"/>
      <family val="2"/>
    </font>
    <font>
      <b/>
      <sz val="11"/>
      <color rgb="FFC00000"/>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sz val="10"/>
      <color indexed="9"/>
      <name val="Calibri"/>
      <family val="2"/>
      <scheme val="minor"/>
    </font>
    <font>
      <sz val="8"/>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indexed="20"/>
        <bgColor indexed="24"/>
      </patternFill>
    </fill>
    <fill>
      <patternFill patternType="solid">
        <fgColor indexed="22"/>
        <bgColor indexed="2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44" fontId="0" fillId="0" borderId="0" xfId="1" applyFont="1"/>
    <xf numFmtId="9" fontId="0" fillId="0" borderId="0" xfId="0" applyNumberFormat="1"/>
    <xf numFmtId="0" fontId="0" fillId="2" borderId="1" xfId="0" applyFill="1" applyBorder="1"/>
    <xf numFmtId="0" fontId="2" fillId="0" borderId="0" xfId="0" applyFont="1"/>
    <xf numFmtId="0" fontId="0" fillId="0" borderId="1" xfId="0" applyBorder="1"/>
    <xf numFmtId="0" fontId="2" fillId="2" borderId="1" xfId="0" applyFont="1" applyFill="1" applyBorder="1" applyAlignment="1">
      <alignment horizontal="center"/>
    </xf>
    <xf numFmtId="0" fontId="0" fillId="3" borderId="1" xfId="0" applyFill="1" applyBorder="1"/>
    <xf numFmtId="44" fontId="0" fillId="0" borderId="1" xfId="1" applyFont="1" applyBorder="1"/>
    <xf numFmtId="0" fontId="0" fillId="0" borderId="2" xfId="0" applyBorder="1" applyAlignment="1">
      <alignment wrapText="1"/>
    </xf>
    <xf numFmtId="0" fontId="0" fillId="4" borderId="0" xfId="0" applyFill="1"/>
    <xf numFmtId="0" fontId="0" fillId="5" borderId="0" xfId="0" applyFill="1"/>
    <xf numFmtId="44" fontId="0" fillId="5" borderId="0" xfId="1" applyFont="1" applyFill="1"/>
    <xf numFmtId="0" fontId="0" fillId="6" borderId="0" xfId="0" applyFill="1"/>
    <xf numFmtId="0" fontId="0" fillId="7" borderId="0" xfId="0" applyFill="1"/>
    <xf numFmtId="164" fontId="0" fillId="0" borderId="0" xfId="1" applyNumberFormat="1" applyFont="1"/>
    <xf numFmtId="164" fontId="0" fillId="7" borderId="0" xfId="1" applyNumberFormat="1" applyFont="1" applyFill="1"/>
    <xf numFmtId="0" fontId="4" fillId="8" borderId="0" xfId="0" applyFont="1" applyFill="1"/>
    <xf numFmtId="44" fontId="4" fillId="8" borderId="0" xfId="1" applyFont="1" applyFill="1"/>
    <xf numFmtId="0" fontId="2" fillId="5" borderId="1" xfId="0" applyFont="1" applyFill="1" applyBorder="1" applyAlignment="1">
      <alignment horizontal="center"/>
    </xf>
    <xf numFmtId="0" fontId="2" fillId="0" borderId="0" xfId="0" applyFont="1" applyAlignment="1">
      <alignment horizontal="center"/>
    </xf>
    <xf numFmtId="44" fontId="0" fillId="7" borderId="1" xfId="1" applyFont="1" applyFill="1" applyBorder="1"/>
    <xf numFmtId="0" fontId="0" fillId="7" borderId="0" xfId="0" applyFill="1" applyAlignment="1">
      <alignment horizontal="center"/>
    </xf>
    <xf numFmtId="0" fontId="0" fillId="7" borderId="1" xfId="0" applyFill="1" applyBorder="1"/>
    <xf numFmtId="44" fontId="3" fillId="9" borderId="1" xfId="1" applyFont="1" applyFill="1" applyBorder="1"/>
    <xf numFmtId="0" fontId="0" fillId="0" borderId="1" xfId="0" applyBorder="1" applyAlignment="1">
      <alignment horizontal="right"/>
    </xf>
    <xf numFmtId="0" fontId="0" fillId="0" borderId="1" xfId="0" applyBorder="1" applyAlignment="1">
      <alignment horizontal="left"/>
    </xf>
    <xf numFmtId="0" fontId="2" fillId="0" borderId="0" xfId="0" applyFont="1" applyAlignment="1">
      <alignment horizontal="right"/>
    </xf>
    <xf numFmtId="8" fontId="0" fillId="10" borderId="0" xfId="0" applyNumberFormat="1" applyFill="1"/>
    <xf numFmtId="44" fontId="0" fillId="0" borderId="0" xfId="0" applyNumberFormat="1"/>
    <xf numFmtId="0" fontId="0" fillId="0" borderId="0" xfId="0" applyAlignment="1">
      <alignment horizontal="center"/>
    </xf>
    <xf numFmtId="0" fontId="0" fillId="0" borderId="3" xfId="0" applyBorder="1" applyAlignment="1">
      <alignment horizontal="center"/>
    </xf>
    <xf numFmtId="0" fontId="2" fillId="0" borderId="0" xfId="0" applyFont="1" applyAlignment="1">
      <alignment horizontal="center"/>
    </xf>
    <xf numFmtId="0" fontId="2" fillId="5" borderId="1" xfId="0" applyFont="1" applyFill="1" applyBorder="1" applyAlignment="1">
      <alignment horizontal="center"/>
    </xf>
    <xf numFmtId="0" fontId="0" fillId="0" borderId="0" xfId="0" pivotButton="1"/>
    <xf numFmtId="0" fontId="0" fillId="0" borderId="0" xfId="0" applyAlignment="1">
      <alignment horizontal="left"/>
    </xf>
    <xf numFmtId="0" fontId="0" fillId="0" borderId="0" xfId="0" applyNumberFormat="1"/>
    <xf numFmtId="165" fontId="0" fillId="0" borderId="0" xfId="0" applyNumberFormat="1"/>
    <xf numFmtId="0" fontId="0" fillId="0" borderId="0" xfId="0" applyAlignment="1">
      <alignment horizontal="center" vertical="center"/>
    </xf>
    <xf numFmtId="44" fontId="0" fillId="0" borderId="1" xfId="1" applyNumberFormat="1" applyFont="1" applyBorder="1"/>
    <xf numFmtId="44" fontId="2" fillId="2" borderId="1" xfId="0" applyNumberFormat="1" applyFont="1" applyFill="1" applyBorder="1" applyAlignment="1">
      <alignment horizontal="center"/>
    </xf>
    <xf numFmtId="0" fontId="0" fillId="0" borderId="1" xfId="0" applyBorder="1" applyAlignment="1">
      <alignment wrapText="1"/>
    </xf>
    <xf numFmtId="0" fontId="0" fillId="0" borderId="0" xfId="0" applyFill="1" applyBorder="1" applyAlignment="1"/>
    <xf numFmtId="44" fontId="0" fillId="0" borderId="0" xfId="0" applyNumberFormat="1" applyFill="1" applyBorder="1" applyAlignment="1"/>
    <xf numFmtId="9" fontId="0" fillId="0" borderId="0" xfId="0" applyNumberFormat="1" applyFill="1" applyBorder="1" applyAlignment="1"/>
    <xf numFmtId="8" fontId="0" fillId="0" borderId="5" xfId="0" applyNumberFormat="1" applyFill="1" applyBorder="1" applyAlignment="1"/>
    <xf numFmtId="0" fontId="7" fillId="11" borderId="3" xfId="0" applyFont="1" applyFill="1" applyBorder="1" applyAlignment="1">
      <alignment horizontal="left"/>
    </xf>
    <xf numFmtId="0" fontId="7" fillId="11" borderId="4" xfId="0" applyFont="1" applyFill="1" applyBorder="1" applyAlignment="1">
      <alignment horizontal="left"/>
    </xf>
    <xf numFmtId="0" fontId="0" fillId="0" borderId="6" xfId="0" applyFill="1" applyBorder="1" applyAlignment="1"/>
    <xf numFmtId="0" fontId="8" fillId="12" borderId="0" xfId="0" applyFont="1" applyFill="1" applyBorder="1" applyAlignment="1">
      <alignment horizontal="left"/>
    </xf>
    <xf numFmtId="0" fontId="9" fillId="12" borderId="6" xfId="0" applyFont="1" applyFill="1" applyBorder="1" applyAlignment="1">
      <alignment horizontal="left"/>
    </xf>
    <xf numFmtId="0" fontId="8" fillId="12" borderId="5" xfId="0" applyFont="1" applyFill="1" applyBorder="1" applyAlignment="1">
      <alignment horizontal="left"/>
    </xf>
    <xf numFmtId="0" fontId="10" fillId="11" borderId="4" xfId="0" applyFont="1" applyFill="1" applyBorder="1" applyAlignment="1">
      <alignment horizontal="right"/>
    </xf>
    <xf numFmtId="0" fontId="10" fillId="11" borderId="3" xfId="0" applyFont="1" applyFill="1" applyBorder="1" applyAlignment="1">
      <alignment horizontal="right"/>
    </xf>
    <xf numFmtId="44" fontId="0" fillId="13" borderId="0" xfId="0" applyNumberFormat="1" applyFill="1" applyBorder="1" applyAlignment="1"/>
    <xf numFmtId="9" fontId="0" fillId="13" borderId="0" xfId="0" applyNumberFormat="1" applyFill="1" applyBorder="1" applyAlignment="1"/>
    <xf numFmtId="0" fontId="0" fillId="13" borderId="0" xfId="0" applyFill="1" applyBorder="1" applyAlignment="1"/>
    <xf numFmtId="0" fontId="11" fillId="0" borderId="0" xfId="0" applyFont="1" applyFill="1" applyBorder="1" applyAlignment="1">
      <alignment vertical="top" wrapText="1"/>
    </xf>
  </cellXfs>
  <cellStyles count="2">
    <cellStyle name="Currency" xfId="1" builtinId="4"/>
    <cellStyle name="Normal" xfId="0" builtinId="0"/>
  </cellStyles>
  <dxfs count="25">
    <dxf>
      <font>
        <b/>
        <i val="0"/>
        <color rgb="FFFFFF00"/>
      </font>
      <fill>
        <patternFill>
          <bgColor rgb="FFFF0000"/>
        </patternFill>
      </fill>
    </dxf>
    <dxf>
      <font>
        <b/>
        <i val="0"/>
        <color rgb="FFFF0000"/>
      </font>
      <fill>
        <patternFill>
          <bgColor theme="5" tint="0.79998168889431442"/>
        </patternFill>
      </fill>
    </dxf>
    <dxf>
      <font>
        <b/>
        <i val="0"/>
        <color theme="9"/>
      </font>
    </dxf>
    <dxf>
      <font>
        <b/>
        <i val="0"/>
        <color rgb="FFFF0000"/>
      </font>
    </dxf>
    <dxf>
      <font>
        <b/>
        <i val="0"/>
        <color rgb="FFFFFF00"/>
      </font>
      <fill>
        <patternFill>
          <bgColor rgb="FFFF0000"/>
        </patternFill>
      </fill>
    </dxf>
    <dxf>
      <numFmt numFmtId="165" formatCode="0.0"/>
    </dxf>
    <dxf>
      <alignment horizontal="center" vertical="center" textRotation="0" wrapText="0" indent="0" justifyLastLine="0" shrinkToFit="0" readingOrder="0"/>
    </dxf>
    <dxf>
      <numFmt numFmtId="165" formatCode="0.0"/>
    </dxf>
    <dxf>
      <numFmt numFmtId="0" formatCode="General"/>
    </dxf>
    <dxf>
      <numFmt numFmtId="165" formatCode="0.0"/>
    </dxf>
    <dxf>
      <numFmt numFmtId="165" formatCode="0.0"/>
    </dxf>
    <dxf>
      <numFmt numFmtId="165" formatCode="0.0"/>
    </dxf>
    <dxf>
      <numFmt numFmtId="165" formatCode="0.0"/>
    </dxf>
    <dxf>
      <numFmt numFmtId="0" formatCode="General"/>
    </dxf>
    <dxf>
      <numFmt numFmtId="165" formatCode="0.0"/>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3" formatCode="0%"/>
    </dxf>
    <dxf>
      <numFmt numFmtId="13" formatCode="0%"/>
    </dxf>
    <dxf>
      <numFmt numFmtId="34" formatCode="_(&quot;$&quot;* #,##0.00_);_(&quot;$&quot;* \(#,##0.00\);_(&quot;$&quot;* &quot;-&quot;??_);_(@_)"/>
    </dxf>
    <dxf>
      <numFmt numFmtId="34" formatCode="_(&quot;$&quot;* #,##0.00_);_(&quot;$&quot;* \(#,##0.00\);_(&quot;$&quot;* &quot;-&quot;??_);_(@_)"/>
    </dxf>
    <dxf>
      <numFmt numFmtId="34" formatCode="_(&quot;$&quot;* #,##0.00_);_(&quot;$&quot;* \(#,##0.00\);_(&quot;$&quot;* &quot;-&quot;??_);_(@_)"/>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sheetMetadata" Target="metadata.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pivotCacheDefinition" Target="pivotCache/pivotCacheDefinition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styles" Target="style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microsoft.com/office/2007/relationships/slicerCache" Target="slicerCaches/slicerCache1.xml"/><Relationship Id="rId35" Type="http://schemas.openxmlformats.org/officeDocument/2006/relationships/calcChain" Target="calcChain.xml"/><Relationship Id="rId8" Type="http://schemas.openxmlformats.org/officeDocument/2006/relationships/worksheet" Target="worksheets/sheet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Employee!$I$2</c:f>
              <c:strCache>
                <c:ptCount val="1"/>
                <c:pt idx="0">
                  <c:v>Basic Salary</c:v>
                </c:pt>
              </c:strCache>
            </c:strRef>
          </c:tx>
          <c:spPr>
            <a:solidFill>
              <a:schemeClr val="accent6"/>
            </a:solidFill>
            <a:ln>
              <a:noFill/>
            </a:ln>
            <a:effectLst>
              <a:outerShdw blurRad="57150" dist="19050" dir="5400000" algn="ctr" rotWithShape="0">
                <a:srgbClr val="000000">
                  <a:alpha val="63000"/>
                </a:srgbClr>
              </a:outerShdw>
            </a:effectLst>
          </c:spPr>
          <c:invertIfNegative val="0"/>
          <c:dPt>
            <c:idx val="6"/>
            <c:invertIfNegative val="0"/>
            <c:bubble3D val="0"/>
            <c:spPr>
              <a:solidFill>
                <a:srgbClr val="FF0000"/>
              </a:solidFill>
              <a:ln>
                <a:noFill/>
              </a:ln>
              <a:effectLst>
                <a:outerShdw blurRad="57150" dist="19050" dir="5400000" algn="ctr" rotWithShape="0">
                  <a:srgbClr val="000000">
                    <a:alpha val="63000"/>
                  </a:srgbClr>
                </a:outerShdw>
              </a:effectLst>
            </c:spPr>
          </c:dPt>
          <c:cat>
            <c:strRef>
              <c:f>Employee!$C$3:$C$15</c:f>
              <c:strCache>
                <c:ptCount val="13"/>
                <c:pt idx="0">
                  <c:v>Tong Sam Pah</c:v>
                </c:pt>
                <c:pt idx="1">
                  <c:v>Yong Tau Foo</c:v>
                </c:pt>
                <c:pt idx="2">
                  <c:v>Low Mee</c:v>
                </c:pt>
                <c:pt idx="3">
                  <c:v>Low Shi Fun</c:v>
                </c:pt>
                <c:pt idx="4">
                  <c:v>Ali</c:v>
                </c:pt>
                <c:pt idx="5">
                  <c:v>Abu</c:v>
                </c:pt>
                <c:pt idx="6">
                  <c:v>Ahmad</c:v>
                </c:pt>
                <c:pt idx="7">
                  <c:v>Aaron</c:v>
                </c:pt>
                <c:pt idx="8">
                  <c:v>Ah Chong</c:v>
                </c:pt>
                <c:pt idx="9">
                  <c:v>Azizi</c:v>
                </c:pt>
                <c:pt idx="10">
                  <c:v>Shila Hamzah</c:v>
                </c:pt>
                <c:pt idx="11">
                  <c:v>Narayanan</c:v>
                </c:pt>
                <c:pt idx="12">
                  <c:v>Fatimah</c:v>
                </c:pt>
              </c:strCache>
            </c:strRef>
          </c:cat>
          <c:val>
            <c:numRef>
              <c:f>Employee!$I$3:$I$15</c:f>
              <c:numCache>
                <c:formatCode>_("$"* #,##0.00_);_("$"* \(#,##0.00\);_("$"* "-"??_);_(@_)</c:formatCode>
                <c:ptCount val="13"/>
                <c:pt idx="0">
                  <c:v>5000</c:v>
                </c:pt>
                <c:pt idx="1">
                  <c:v>4800</c:v>
                </c:pt>
                <c:pt idx="2">
                  <c:v>5100</c:v>
                </c:pt>
                <c:pt idx="3">
                  <c:v>4300</c:v>
                </c:pt>
                <c:pt idx="4">
                  <c:v>4700</c:v>
                </c:pt>
                <c:pt idx="5">
                  <c:v>5340</c:v>
                </c:pt>
                <c:pt idx="6">
                  <c:v>6500</c:v>
                </c:pt>
                <c:pt idx="7">
                  <c:v>5500</c:v>
                </c:pt>
                <c:pt idx="8">
                  <c:v>5600</c:v>
                </c:pt>
                <c:pt idx="9">
                  <c:v>5780</c:v>
                </c:pt>
                <c:pt idx="10">
                  <c:v>4325</c:v>
                </c:pt>
                <c:pt idx="11">
                  <c:v>4340</c:v>
                </c:pt>
                <c:pt idx="12">
                  <c:v>5345</c:v>
                </c:pt>
              </c:numCache>
            </c:numRef>
          </c:val>
          <c:extLst>
            <c:ext xmlns:c16="http://schemas.microsoft.com/office/drawing/2014/chart" uri="{C3380CC4-5D6E-409C-BE32-E72D297353CC}">
              <c16:uniqueId val="{00000002-8CE3-4BDF-9EF2-871D4D083F7C}"/>
            </c:ext>
          </c:extLst>
        </c:ser>
        <c:dLbls>
          <c:showLegendKey val="0"/>
          <c:showVal val="0"/>
          <c:showCatName val="0"/>
          <c:showSerName val="0"/>
          <c:showPercent val="0"/>
          <c:showBubbleSize val="0"/>
        </c:dLbls>
        <c:gapWidth val="100"/>
        <c:overlap val="-24"/>
        <c:axId val="1368035695"/>
        <c:axId val="1368039535"/>
      </c:barChart>
      <c:catAx>
        <c:axId val="1368035695"/>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Employee</a:t>
                </a:r>
              </a:p>
            </c:rich>
          </c:tx>
          <c:layout>
            <c:manualLayout>
              <c:xMode val="edge"/>
              <c:yMode val="edge"/>
              <c:x val="0.46090597604784894"/>
              <c:y val="0.8767274169427046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68039535"/>
        <c:crosses val="autoZero"/>
        <c:auto val="1"/>
        <c:lblAlgn val="ctr"/>
        <c:lblOffset val="100"/>
        <c:noMultiLvlLbl val="0"/>
      </c:catAx>
      <c:valAx>
        <c:axId val="1368039535"/>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68035695"/>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[Day1.xlsx]Pivot Table!PivotTable3</c:name>
    <c:fmtId val="0"/>
  </c:pivotSource>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'Pivot Table'!$A$4:$A$9</c:f>
              <c:strCache>
                <c:ptCount val="6"/>
                <c:pt idx="0">
                  <c:v>FN</c:v>
                </c:pt>
                <c:pt idx="1">
                  <c:v>HR</c:v>
                </c:pt>
                <c:pt idx="2">
                  <c:v>IT</c:v>
                </c:pt>
                <c:pt idx="3">
                  <c:v>OP</c:v>
                </c:pt>
                <c:pt idx="4">
                  <c:v>RD</c:v>
                </c:pt>
                <c:pt idx="5">
                  <c:v>SA</c:v>
                </c:pt>
              </c:strCache>
            </c:strRef>
          </c:cat>
          <c:val>
            <c:numRef>
              <c:f>'Pivot Table'!$B$4:$B$9</c:f>
              <c:numCache>
                <c:formatCode>_("$"* #,##0.00_);_("$"* \(#,##0.00\);_("$"* "-"??_);_(@_)</c:formatCode>
                <c:ptCount val="6"/>
                <c:pt idx="0">
                  <c:v>3421.8</c:v>
                </c:pt>
                <c:pt idx="1">
                  <c:v>1128</c:v>
                </c:pt>
                <c:pt idx="2">
                  <c:v>4850</c:v>
                </c:pt>
                <c:pt idx="3">
                  <c:v>1265</c:v>
                </c:pt>
                <c:pt idx="4">
                  <c:v>1329.4</c:v>
                </c:pt>
                <c:pt idx="5">
                  <c:v>3555.3500000000004</c:v>
                </c:pt>
              </c:numCache>
            </c:numRef>
          </c:val>
          <c:extLst>
            <c:ext xmlns:c16="http://schemas.microsoft.com/office/drawing/2014/chart" uri="{C3380CC4-5D6E-409C-BE32-E72D297353CC}">
              <c16:uniqueId val="{00000000-30F7-455C-9E6C-490F5FCD8C75}"/>
            </c:ext>
          </c:extLst>
        </c:ser>
        <c:dLbls>
          <c:dLblPos val="inEnd"/>
          <c:showLegendKey val="0"/>
          <c:showVal val="1"/>
          <c:showCatName val="0"/>
          <c:showSerName val="0"/>
          <c:showPercent val="0"/>
          <c:showBubbleSize val="0"/>
        </c:dLbls>
        <c:gapWidth val="100"/>
        <c:overlap val="-24"/>
        <c:axId val="1368083215"/>
        <c:axId val="1368062095"/>
      </c:barChart>
      <c:catAx>
        <c:axId val="136808321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68062095"/>
        <c:crosses val="autoZero"/>
        <c:auto val="1"/>
        <c:lblAlgn val="ctr"/>
        <c:lblOffset val="100"/>
        <c:noMultiLvlLbl val="0"/>
      </c:catAx>
      <c:valAx>
        <c:axId val="1368062095"/>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6808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2109377-6EC8-4939-902D-F9B0BC6813B8}">
  <sheetPr/>
  <sheetViews>
    <sheetView zoomScale="10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absoluteAnchor>
    <xdr:pos x="0" y="0"/>
    <xdr:ext cx="8663126" cy="6288350"/>
    <xdr:graphicFrame macro="">
      <xdr:nvGraphicFramePr>
        <xdr:cNvPr id="2" name="Chart 1">
          <a:extLst>
            <a:ext uri="{FF2B5EF4-FFF2-40B4-BE49-F238E27FC236}">
              <a16:creationId xmlns:a16="http://schemas.microsoft.com/office/drawing/2014/main" id="{8AD191A0-327F-98CF-CF03-8AE13135C2E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3</xdr:col>
      <xdr:colOff>109537</xdr:colOff>
      <xdr:row>0</xdr:row>
      <xdr:rowOff>100012</xdr:rowOff>
    </xdr:from>
    <xdr:to>
      <xdr:col>8</xdr:col>
      <xdr:colOff>85725</xdr:colOff>
      <xdr:row>13</xdr:row>
      <xdr:rowOff>52387</xdr:rowOff>
    </xdr:to>
    <xdr:graphicFrame macro="">
      <xdr:nvGraphicFramePr>
        <xdr:cNvPr id="2" name="Chart 1">
          <a:extLst>
            <a:ext uri="{FF2B5EF4-FFF2-40B4-BE49-F238E27FC236}">
              <a16:creationId xmlns:a16="http://schemas.microsoft.com/office/drawing/2014/main" id="{04B9F8A7-331F-1C8E-B986-F953DB6A81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628519</xdr:colOff>
      <xdr:row>6</xdr:row>
      <xdr:rowOff>19183</xdr:rowOff>
    </xdr:from>
    <xdr:to>
      <xdr:col>9</xdr:col>
      <xdr:colOff>126124</xdr:colOff>
      <xdr:row>15</xdr:row>
      <xdr:rowOff>81193</xdr:rowOff>
    </xdr:to>
    <mc:AlternateContent xmlns:mc="http://schemas.openxmlformats.org/markup-compatibility/2006">
      <mc:Choice xmlns:a14="http://schemas.microsoft.com/office/drawing/2010/main" Requires="a14">
        <xdr:graphicFrame macro="">
          <xdr:nvGraphicFramePr>
            <xdr:cNvPr id="2" name="Race">
              <a:extLst>
                <a:ext uri="{FF2B5EF4-FFF2-40B4-BE49-F238E27FC236}">
                  <a16:creationId xmlns:a16="http://schemas.microsoft.com/office/drawing/2014/main" id="{5F9DA87D-711C-7B02-883E-79D009A0AE3E}"/>
                </a:ext>
              </a:extLst>
            </xdr:cNvPr>
            <xdr:cNvGraphicFramePr/>
          </xdr:nvGraphicFramePr>
          <xdr:xfrm>
            <a:off x="0" y="0"/>
            <a:ext cx="0" cy="0"/>
          </xdr:xfrm>
          <a:graphic>
            <a:graphicData uri="http://schemas.microsoft.com/office/drawing/2010/slicer">
              <sle:slicer xmlns:sle="http://schemas.microsoft.com/office/drawing/2010/slicer" name="Race"/>
            </a:graphicData>
          </a:graphic>
        </xdr:graphicFrame>
      </mc:Choice>
      <mc:Fallback>
        <xdr:sp macro="" textlink="">
          <xdr:nvSpPr>
            <xdr:cNvPr id="0" name=""/>
            <xdr:cNvSpPr>
              <a:spLocks noTextEdit="1"/>
            </xdr:cNvSpPr>
          </xdr:nvSpPr>
          <xdr:spPr>
            <a:xfrm>
              <a:off x="6251553" y="1122769"/>
              <a:ext cx="1063647" cy="17173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855.410941550923" createdVersion="8" refreshedVersion="8" minRefreshableVersion="3" recordCount="13" xr:uid="{646EE489-1720-4009-B681-C9B35226443D}">
  <cacheSource type="worksheet">
    <worksheetSource name="TblEmployee"/>
  </cacheSource>
  <cacheFields count="11">
    <cacheField name="EID" numFmtId="0">
      <sharedItems containsSemiMixedTypes="0" containsString="0" containsNumber="1" containsInteger="1" minValue="1000" maxValue="1032" count="13">
        <n v="1017"/>
        <n v="1012"/>
        <n v="1020"/>
        <n v="1015"/>
        <n v="1010"/>
        <n v="1022"/>
        <n v="1032"/>
        <n v="1005"/>
        <n v="1008"/>
        <n v="1030"/>
        <n v="1028"/>
        <n v="1000"/>
        <n v="1002"/>
      </sharedItems>
    </cacheField>
    <cacheField name="Name" numFmtId="0">
      <sharedItems/>
    </cacheField>
    <cacheField name="Gender" numFmtId="0">
      <sharedItems count="2">
        <s v="M"/>
        <s v="F"/>
      </sharedItems>
    </cacheField>
    <cacheField name="Department" numFmtId="0">
      <sharedItems count="6">
        <s v="OP"/>
        <s v="FN"/>
        <s v="SA"/>
        <s v="IT"/>
        <s v="HR"/>
        <s v="RD"/>
      </sharedItems>
    </cacheField>
    <cacheField name="Race" numFmtId="0">
      <sharedItems containsBlank="1" count="4">
        <m/>
        <s v="Malay"/>
        <s v="Chinese"/>
        <s v="Indian"/>
      </sharedItems>
    </cacheField>
    <cacheField name="Supervisor" numFmtId="0">
      <sharedItems containsString="0" containsBlank="1" containsNumber="1" containsInteger="1" minValue="1002" maxValue="1028"/>
    </cacheField>
    <cacheField name="Age" numFmtId="0">
      <sharedItems containsSemiMixedTypes="0" containsString="0" containsNumber="1" containsInteger="1" minValue="23" maxValue="40"/>
    </cacheField>
    <cacheField name="Basic Salary" numFmtId="44">
      <sharedItems containsSemiMixedTypes="0" containsString="0" containsNumber="1" containsInteger="1" minValue="4300" maxValue="6500"/>
    </cacheField>
    <cacheField name="Chart" numFmtId="44">
      <sharedItems containsSemiMixedTypes="0" containsString="0" containsNumber="1" containsInteger="1" minValue="4300" maxValue="6500"/>
    </cacheField>
    <cacheField name="Monthly Salary" numFmtId="44">
      <sharedItems containsSemiMixedTypes="0" containsString="0" containsNumber="1" minValue="3827" maxValue="5785"/>
    </cacheField>
    <cacheField name="EPF" numFmtId="44">
      <sharedItems containsSemiMixedTypes="0" containsString="0" containsNumber="1" minValue="1032" maxValue="1495"/>
    </cacheField>
  </cacheFields>
  <extLst>
    <ext xmlns:x14="http://schemas.microsoft.com/office/spreadsheetml/2009/9/main" uri="{725AE2AE-9491-48be-B2B4-4EB974FC3084}">
      <x14:pivotCacheDefinition pivotCacheId="12265106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s v="Aaron"/>
    <x v="0"/>
    <x v="0"/>
    <x v="0"/>
    <n v="1015"/>
    <n v="32"/>
    <n v="5500"/>
    <n v="5500"/>
    <n v="4895"/>
    <n v="1265"/>
  </r>
  <r>
    <x v="1"/>
    <s v="Abu"/>
    <x v="0"/>
    <x v="1"/>
    <x v="1"/>
    <n v="1002"/>
    <n v="35"/>
    <n v="5340"/>
    <n v="5340"/>
    <n v="4752.6000000000004"/>
    <n v="1228.2"/>
  </r>
  <r>
    <x v="2"/>
    <s v="Ah Chong"/>
    <x v="0"/>
    <x v="2"/>
    <x v="2"/>
    <n v="1028"/>
    <n v="28"/>
    <n v="5600"/>
    <n v="5600"/>
    <n v="4984"/>
    <n v="1288"/>
  </r>
  <r>
    <x v="3"/>
    <s v="Ahmad"/>
    <x v="0"/>
    <x v="3"/>
    <x v="1"/>
    <m/>
    <n v="40"/>
    <n v="6500"/>
    <n v="6500"/>
    <n v="5785"/>
    <n v="1495"/>
  </r>
  <r>
    <x v="4"/>
    <s v="Ali"/>
    <x v="0"/>
    <x v="4"/>
    <x v="1"/>
    <n v="1015"/>
    <n v="29"/>
    <n v="4700"/>
    <n v="4700"/>
    <n v="4183"/>
    <n v="1128"/>
  </r>
  <r>
    <x v="5"/>
    <s v="Azizi"/>
    <x v="0"/>
    <x v="5"/>
    <x v="1"/>
    <n v="1015"/>
    <n v="30"/>
    <n v="5780"/>
    <n v="5780"/>
    <n v="5144.2"/>
    <n v="1329.4"/>
  </r>
  <r>
    <x v="6"/>
    <s v="Fatimah"/>
    <x v="1"/>
    <x v="2"/>
    <x v="1"/>
    <n v="1015"/>
    <n v="26"/>
    <n v="5345"/>
    <n v="5345"/>
    <n v="4757.05"/>
    <n v="1229.3500000000001"/>
  </r>
  <r>
    <x v="7"/>
    <s v="Low Mee"/>
    <x v="1"/>
    <x v="3"/>
    <x v="2"/>
    <n v="1015"/>
    <n v="26"/>
    <n v="5100"/>
    <n v="5100"/>
    <n v="4539"/>
    <n v="1173"/>
  </r>
  <r>
    <x v="8"/>
    <s v="Low Shi Fun"/>
    <x v="1"/>
    <x v="3"/>
    <x v="2"/>
    <n v="1005"/>
    <n v="24"/>
    <n v="4300"/>
    <n v="4300"/>
    <n v="3827"/>
    <n v="1032"/>
  </r>
  <r>
    <x v="9"/>
    <s v="Narayanan"/>
    <x v="0"/>
    <x v="1"/>
    <x v="3"/>
    <n v="1002"/>
    <n v="27"/>
    <n v="4340"/>
    <n v="4340"/>
    <n v="3862.6"/>
    <n v="1041.5999999999999"/>
  </r>
  <r>
    <x v="10"/>
    <s v="Shila Hamzah"/>
    <x v="1"/>
    <x v="2"/>
    <x v="1"/>
    <n v="1015"/>
    <n v="25"/>
    <n v="4325"/>
    <n v="4325"/>
    <n v="3849.25"/>
    <n v="1038"/>
  </r>
  <r>
    <x v="11"/>
    <s v="Tong Sam Pah"/>
    <x v="0"/>
    <x v="3"/>
    <x v="2"/>
    <n v="1005"/>
    <n v="23"/>
    <n v="5000"/>
    <n v="5000"/>
    <n v="4450"/>
    <n v="1150"/>
  </r>
  <r>
    <x v="12"/>
    <s v="Yong Tau Foo"/>
    <x v="0"/>
    <x v="1"/>
    <x v="2"/>
    <n v="1015"/>
    <n v="25"/>
    <n v="4800"/>
    <n v="4800"/>
    <n v="4272"/>
    <n v="115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A8FA3D-F628-4A43-9379-37370FBDD693}" name="PivotTable3" cacheId="16"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3" rowHeaderCaption="Department">
  <location ref="A3:B9" firstHeaderRow="1" firstDataRow="1" firstDataCol="1"/>
  <pivotFields count="11">
    <pivotField showAll="0"/>
    <pivotField showAll="0"/>
    <pivotField showAll="0"/>
    <pivotField axis="axisRow" showAll="0">
      <items count="7">
        <item x="1"/>
        <item x="4"/>
        <item x="3"/>
        <item x="0"/>
        <item x="5"/>
        <item x="2"/>
        <item t="default"/>
      </items>
    </pivotField>
    <pivotField showAll="0"/>
    <pivotField showAll="0"/>
    <pivotField showAll="0"/>
    <pivotField numFmtId="44" showAll="0"/>
    <pivotField numFmtId="44" showAll="0"/>
    <pivotField numFmtId="44" showAll="0"/>
    <pivotField dataField="1" numFmtId="44" showAll="0"/>
  </pivotFields>
  <rowFields count="1">
    <field x="3"/>
  </rowFields>
  <rowItems count="6">
    <i>
      <x/>
    </i>
    <i>
      <x v="1"/>
    </i>
    <i>
      <x v="2"/>
    </i>
    <i>
      <x v="3"/>
    </i>
    <i>
      <x v="4"/>
    </i>
    <i>
      <x v="5"/>
    </i>
  </rowItems>
  <colItems count="1">
    <i/>
  </colItems>
  <dataFields count="1">
    <dataField name="Jumlah KWSP Dibayar" fld="10" baseField="3" baseItem="0" numFmtId="44"/>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E43226B-0533-4D73-BF3F-0BA9E0349C86}" name="PivotTable5"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8:B21" firstHeaderRow="1" firstDataRow="1" firstDataCol="1"/>
  <pivotFields count="11">
    <pivotField showAll="0"/>
    <pivotField showAll="0"/>
    <pivotField axis="axisRow" showAll="0">
      <items count="3">
        <item x="1"/>
        <item x="0"/>
        <item t="default"/>
      </items>
    </pivotField>
    <pivotField showAll="0"/>
    <pivotField showAll="0">
      <items count="5">
        <item x="2"/>
        <item x="3"/>
        <item x="1"/>
        <item x="0"/>
        <item t="default"/>
      </items>
    </pivotField>
    <pivotField showAll="0"/>
    <pivotField dataField="1" showAll="0"/>
    <pivotField numFmtId="44" showAll="0"/>
    <pivotField numFmtId="44" showAll="0"/>
    <pivotField numFmtId="44" showAll="0"/>
    <pivotField numFmtId="44" showAll="0"/>
  </pivotFields>
  <rowFields count="1">
    <field x="2"/>
  </rowFields>
  <rowItems count="3">
    <i>
      <x/>
    </i>
    <i>
      <x v="1"/>
    </i>
    <i t="grand">
      <x/>
    </i>
  </rowItems>
  <colItems count="1">
    <i/>
  </colItems>
  <dataFields count="1">
    <dataField name="Average of Age" fld="6" subtotal="average" baseField="2" baseItem="0" numFmtId="165"/>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E3A1EC7-27FD-4A76-87A3-1F6F7FC3D187}" name="PivotTable4"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F12" firstHeaderRow="1" firstDataRow="2" firstDataCol="1" rowPageCount="1" colPageCount="1"/>
  <pivotFields count="11">
    <pivotField axis="axisPage" multipleItemSelectionAllowed="1" showAll="0">
      <items count="14">
        <item x="11"/>
        <item x="12"/>
        <item x="7"/>
        <item x="8"/>
        <item x="4"/>
        <item x="1"/>
        <item h="1" x="3"/>
        <item x="0"/>
        <item x="2"/>
        <item x="5"/>
        <item x="10"/>
        <item x="9"/>
        <item x="6"/>
        <item t="default"/>
      </items>
    </pivotField>
    <pivotField showAll="0"/>
    <pivotField showAll="0">
      <items count="3">
        <item x="1"/>
        <item x="0"/>
        <item t="default"/>
      </items>
    </pivotField>
    <pivotField axis="axisRow" showAll="0">
      <items count="7">
        <item x="1"/>
        <item x="4"/>
        <item x="3"/>
        <item x="0"/>
        <item x="5"/>
        <item x="2"/>
        <item t="default"/>
      </items>
    </pivotField>
    <pivotField axis="axisCol" multipleItemSelectionAllowed="1" showAll="0">
      <items count="5">
        <item x="2"/>
        <item x="3"/>
        <item x="1"/>
        <item x="0"/>
        <item t="default"/>
      </items>
    </pivotField>
    <pivotField showAll="0"/>
    <pivotField showAll="0"/>
    <pivotField dataField="1" numFmtId="44" showAll="0"/>
    <pivotField numFmtId="44" showAll="0"/>
    <pivotField numFmtId="44" showAll="0"/>
    <pivotField numFmtId="44" showAll="0"/>
  </pivotFields>
  <rowFields count="1">
    <field x="3"/>
  </rowFields>
  <rowItems count="7">
    <i>
      <x/>
    </i>
    <i>
      <x v="1"/>
    </i>
    <i>
      <x v="2"/>
    </i>
    <i>
      <x v="3"/>
    </i>
    <i>
      <x v="4"/>
    </i>
    <i>
      <x v="5"/>
    </i>
    <i t="grand">
      <x/>
    </i>
  </rowItems>
  <colFields count="1">
    <field x="4"/>
  </colFields>
  <colItems count="5">
    <i>
      <x/>
    </i>
    <i>
      <x v="1"/>
    </i>
    <i>
      <x v="2"/>
    </i>
    <i>
      <x v="3"/>
    </i>
    <i t="grand">
      <x/>
    </i>
  </colItems>
  <pageFields count="1">
    <pageField fld="0" hier="-1"/>
  </pageFields>
  <dataFields count="1">
    <dataField name="Sum of Basic Salary" fld="7"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ce" xr10:uid="{16F0834E-41EF-46C5-9C1B-1A0C393FC59C}" sourceName="Race">
  <pivotTables>
    <pivotTable tabId="35" name="PivotTable4"/>
    <pivotTable tabId="35" name="PivotTable5"/>
  </pivotTables>
  <data>
    <tabular pivotCacheId="1226510670">
      <items count="4">
        <i x="2" s="1"/>
        <i x="3"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ace" xr10:uid="{82A3759C-DFDE-458E-8529-93BD7FB11937}" cache="Slicer_Race" caption="Race"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28E232-B93F-402E-98F2-4E94519DF6FF}" name="TblEmployee" displayName="TblEmployee" ref="B2:L15">
  <sortState xmlns:xlrd2="http://schemas.microsoft.com/office/spreadsheetml/2017/richdata2" ref="B3:L15">
    <sortCondition ref="B2:B15"/>
  </sortState>
  <tableColumns count="11">
    <tableColumn id="1" xr3:uid="{D148F918-C3BE-4432-B425-9AAF612648D9}" name="EID" totalsRowFunction="count"/>
    <tableColumn id="2" xr3:uid="{4576D688-0E57-4202-B3E1-B807886152E5}" name="Name"/>
    <tableColumn id="3" xr3:uid="{306C0E44-E06B-474B-9244-0C8A5E6B437E}" name="Gender"/>
    <tableColumn id="4" xr3:uid="{7FC216FF-748B-41D3-B3FB-82CBDE0BEBC8}" name="Department" totalsRowFunction="count" dataDxfId="24"/>
    <tableColumn id="5" xr3:uid="{30646A8D-8F52-4751-82D4-5E30BCC0FEF4}" name="Race"/>
    <tableColumn id="6" xr3:uid="{A80210CD-1344-4D10-8A2B-0693A6260808}" name="Supervisor"/>
    <tableColumn id="7" xr3:uid="{024F58F3-E20F-4634-BD22-38BDB9D1FFDA}" name="Age" totalsRowFunction="average"/>
    <tableColumn id="8" xr3:uid="{F5F2DE58-2BF3-4D4F-B87D-4FED5CA1171B}" name="Basic Salary" totalsRowFunction="sum" dataDxfId="23" totalsRowDxfId="15"/>
    <tableColumn id="9" xr3:uid="{D1AD7AAB-86DD-42F1-BD6C-86657A04928A}" name="Chart" dataDxfId="22">
      <calculatedColumnFormula>TblEmployee[[#This Row],[Basic Salary]]</calculatedColumnFormula>
    </tableColumn>
    <tableColumn id="10" xr3:uid="{4B949B36-E76E-498E-A965-5D0F97BAF66E}" name="Monthly Salary" totalsRowFunction="sum" dataDxfId="18" totalsRowDxfId="16">
      <calculatedColumnFormula array="1">(100% -EPFEmployee)*TblEmployee[[#This Row],[Basic Salary]]</calculatedColumnFormula>
    </tableColumn>
    <tableColumn id="11" xr3:uid="{5B6C40F5-925E-43AE-BCBE-D9DC34CC010C}" name="EPF" totalsRowFunction="average" dataDxfId="21" totalsRowDxfId="17">
      <calculatedColumnFormula>(2*EPFEmployee + IF(TblEmployee[[#This Row],[Basic Salary]]&lt;5000,2%,1%)) * TblEmployee[[#This Row],[Basic Salary]]</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354961-8557-48AD-9A31-42577DF8F50A}" name="TblApraisal" displayName="TblApraisal" ref="B2:J8" totalsRowShown="0" headerRowDxfId="6">
  <tableColumns count="9">
    <tableColumn id="1" xr3:uid="{E62BA93A-9789-404B-8743-A3A9287C8208}" name="EID"/>
    <tableColumn id="2" xr3:uid="{2CEB9FF3-26E0-4D73-9769-67376EE89730}" name="Name" dataDxfId="13">
      <calculatedColumnFormula>IF(TblApraisal[[#This Row],[EID]]&lt;&gt;"",VLOOKUP(TblApraisal[[#This Row],[EID]],TblEmployee[],2,FALSE),"")</calculatedColumnFormula>
    </tableColumn>
    <tableColumn id="3" xr3:uid="{1910F21B-8BC9-4FD8-B40D-F5FF0712C14F}" name="Q1" dataDxfId="12"/>
    <tableColumn id="4" xr3:uid="{2450665B-FF65-4CB9-A1DF-C8C2E993ECB2}" name="Q2" dataDxfId="11"/>
    <tableColumn id="5" xr3:uid="{7653B249-F4E3-4E68-B7A5-AA58D709F4CE}" name="Q3" dataDxfId="10"/>
    <tableColumn id="6" xr3:uid="{36F42190-5C69-47DC-A1F3-F4C901F973A0}" name="Q4" dataDxfId="9"/>
    <tableColumn id="7" xr3:uid="{8B0BACF3-5CCD-400C-A0A0-E218994FBF43}" name="Average" dataDxfId="7">
      <calculatedColumnFormula>IFERROR(AVERAGE(TblApraisal[[#This Row],[Q1]:[Q4]]),"")</calculatedColumnFormula>
    </tableColumn>
    <tableColumn id="8" xr3:uid="{CBCA047E-361E-4E90-94DC-86B50CD69DDA}" name="Action" dataDxfId="8">
      <calculatedColumnFormula>IF(TblApraisal[[#This Row],[Average]]&lt;&gt;"",VLOOKUP(H3,TblAction[],2,TRUE),"")</calculatedColumnFormula>
    </tableColumn>
    <tableColumn id="9" xr3:uid="{88C639F1-7A45-44DA-9F40-0A7042AA1E05}" name="Trend" dataDxfId="5"/>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3CFC98-8EFF-4878-9786-61D985DEBE27}" name="TblDepartment" displayName="TblDepartment" ref="B3:C9">
  <tableColumns count="2">
    <tableColumn id="1" xr3:uid="{DE20D310-2F86-4F9D-AAFC-82B7C86D442B}" name="DID" totalsRowFunction="count"/>
    <tableColumn id="2" xr3:uid="{B7BAB31F-D200-4FBD-9DEF-1D48E46F44F0}" name="Name"/>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6BDF52-4C2D-4384-9AE9-819C8E11EB99}" name="TblRace" displayName="TblRace" ref="E3:E6" totalsRowShown="0">
  <tableColumns count="1">
    <tableColumn id="1" xr3:uid="{BA543D6F-1645-42B5-8C57-357A643D9D66}" name="Race Name"/>
  </tableColumns>
  <tableStyleInfo name="TableStyleMedium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CCA3E4-7ABC-44A1-B5D4-79A058B78B6A}" name="TblAction" displayName="TblAction" ref="G3:H8" totalsRowShown="0">
  <tableColumns count="2">
    <tableColumn id="1" xr3:uid="{42D8713D-E4F3-48C1-908D-3FB6AFC9BC52}" name="Average Performance"/>
    <tableColumn id="2" xr3:uid="{A72DC84E-CEC6-4DC8-B3D4-2BF1B53937BF}" name="Actio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B06F38-676F-44B0-A371-3AEF08CB3A06}" name="TblDelivery" displayName="TblDelivery" ref="E13:G16" totalsRowShown="0">
  <tableColumns count="3">
    <tableColumn id="1" xr3:uid="{163B1E46-3EC2-4DAE-81ED-40DB63ABC34D}" name="By"/>
    <tableColumn id="2" xr3:uid="{AAD53486-2594-41DF-BE35-31283DE76E65}" name="Cost" dataDxfId="20"/>
    <tableColumn id="3" xr3:uid="{BF6D5CA8-6447-42A6-AA8E-C01137488C8A}" name="Duratio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E39CF0-A389-44AA-A600-CD1DEAA85296}" name="TblTax" displayName="TblTax" ref="E19:F24" totalsRowShown="0">
  <tableColumns count="2">
    <tableColumn id="1" xr3:uid="{8C8DAED2-6A3D-4A9F-AAC4-0591B82D1FCD}" name="Country"/>
    <tableColumn id="2" xr3:uid="{B88EF96F-AA2F-4DC2-99B6-643E8BBD9313}" name="Tax" dataDxfId="19"/>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D76C-4D8A-4781-B108-E197A94DFDB1}">
  <dimension ref="A3:B9"/>
  <sheetViews>
    <sheetView zoomScale="160" zoomScaleNormal="160" workbookViewId="0">
      <selection activeCell="B15" sqref="B15"/>
    </sheetView>
  </sheetViews>
  <sheetFormatPr defaultRowHeight="14.4" x14ac:dyDescent="0.3"/>
  <cols>
    <col min="1" max="1" width="13.33203125" bestFit="1" customWidth="1"/>
    <col min="2" max="2" width="19.5546875" bestFit="1" customWidth="1"/>
  </cols>
  <sheetData>
    <row r="3" spans="1:2" x14ac:dyDescent="0.3">
      <c r="A3" s="34" t="s">
        <v>104</v>
      </c>
      <c r="B3" t="s">
        <v>126</v>
      </c>
    </row>
    <row r="4" spans="1:2" x14ac:dyDescent="0.3">
      <c r="A4" s="35" t="s">
        <v>13</v>
      </c>
      <c r="B4" s="29">
        <v>3421.8</v>
      </c>
    </row>
    <row r="5" spans="1:2" x14ac:dyDescent="0.3">
      <c r="A5" s="35" t="s">
        <v>3</v>
      </c>
      <c r="B5" s="29">
        <v>1128</v>
      </c>
    </row>
    <row r="6" spans="1:2" x14ac:dyDescent="0.3">
      <c r="A6" s="35" t="s">
        <v>4</v>
      </c>
      <c r="B6" s="29">
        <v>4850</v>
      </c>
    </row>
    <row r="7" spans="1:2" x14ac:dyDescent="0.3">
      <c r="A7" s="35" t="s">
        <v>15</v>
      </c>
      <c r="B7" s="29">
        <v>1265</v>
      </c>
    </row>
    <row r="8" spans="1:2" x14ac:dyDescent="0.3">
      <c r="A8" s="35" t="s">
        <v>16</v>
      </c>
      <c r="B8" s="29">
        <v>1329.4</v>
      </c>
    </row>
    <row r="9" spans="1:2" x14ac:dyDescent="0.3">
      <c r="A9" s="35" t="s">
        <v>14</v>
      </c>
      <c r="B9" s="29">
        <v>3555.3500000000004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1A4B-F911-4A9E-BBC2-22CB5E57240D}">
  <dimension ref="A2:F21"/>
  <sheetViews>
    <sheetView zoomScale="145" zoomScaleNormal="145" workbookViewId="0">
      <selection activeCell="K10" sqref="K10"/>
    </sheetView>
  </sheetViews>
  <sheetFormatPr defaultRowHeight="14.4" x14ac:dyDescent="0.3"/>
  <cols>
    <col min="1" max="1" width="12.5546875" bestFit="1" customWidth="1"/>
    <col min="2" max="2" width="14.109375" bestFit="1" customWidth="1"/>
    <col min="3" max="3" width="10.6640625" bestFit="1" customWidth="1"/>
    <col min="4" max="4" width="11.77734375" bestFit="1" customWidth="1"/>
    <col min="5" max="5" width="10.6640625" bestFit="1" customWidth="1"/>
    <col min="6" max="6" width="11.77734375" bestFit="1" customWidth="1"/>
    <col min="7" max="7" width="10.44140625" bestFit="1" customWidth="1"/>
    <col min="8" max="9" width="11.44140625" bestFit="1" customWidth="1"/>
    <col min="10" max="10" width="10.44140625" bestFit="1" customWidth="1"/>
    <col min="11" max="11" width="11.6640625" bestFit="1" customWidth="1"/>
    <col min="12" max="12" width="11.44140625" bestFit="1" customWidth="1"/>
  </cols>
  <sheetData>
    <row r="2" spans="1:6" x14ac:dyDescent="0.3">
      <c r="A2" s="34" t="s">
        <v>102</v>
      </c>
      <c r="B2" t="s">
        <v>129</v>
      </c>
    </row>
    <row r="4" spans="1:6" x14ac:dyDescent="0.3">
      <c r="A4" s="34" t="s">
        <v>127</v>
      </c>
      <c r="B4" s="34" t="s">
        <v>128</v>
      </c>
    </row>
    <row r="5" spans="1:6" x14ac:dyDescent="0.3">
      <c r="A5" s="34" t="s">
        <v>124</v>
      </c>
      <c r="B5" t="s">
        <v>19</v>
      </c>
      <c r="C5" t="s">
        <v>20</v>
      </c>
      <c r="D5" t="s">
        <v>18</v>
      </c>
      <c r="E5" t="s">
        <v>130</v>
      </c>
      <c r="F5" t="s">
        <v>125</v>
      </c>
    </row>
    <row r="6" spans="1:6" x14ac:dyDescent="0.3">
      <c r="A6" s="35" t="s">
        <v>13</v>
      </c>
      <c r="B6" s="29">
        <v>4800</v>
      </c>
      <c r="C6" s="29">
        <v>4340</v>
      </c>
      <c r="D6" s="29">
        <v>5340</v>
      </c>
      <c r="E6" s="29"/>
      <c r="F6" s="29">
        <v>14480</v>
      </c>
    </row>
    <row r="7" spans="1:6" x14ac:dyDescent="0.3">
      <c r="A7" s="35" t="s">
        <v>3</v>
      </c>
      <c r="B7" s="29"/>
      <c r="C7" s="29"/>
      <c r="D7" s="29">
        <v>4700</v>
      </c>
      <c r="E7" s="29"/>
      <c r="F7" s="29">
        <v>4700</v>
      </c>
    </row>
    <row r="8" spans="1:6" x14ac:dyDescent="0.3">
      <c r="A8" s="35" t="s">
        <v>4</v>
      </c>
      <c r="B8" s="29">
        <v>14400</v>
      </c>
      <c r="C8" s="29"/>
      <c r="D8" s="29"/>
      <c r="E8" s="29"/>
      <c r="F8" s="29">
        <v>14400</v>
      </c>
    </row>
    <row r="9" spans="1:6" x14ac:dyDescent="0.3">
      <c r="A9" s="35" t="s">
        <v>15</v>
      </c>
      <c r="B9" s="29"/>
      <c r="C9" s="29"/>
      <c r="D9" s="29"/>
      <c r="E9" s="29">
        <v>5500</v>
      </c>
      <c r="F9" s="29">
        <v>5500</v>
      </c>
    </row>
    <row r="10" spans="1:6" x14ac:dyDescent="0.3">
      <c r="A10" s="35" t="s">
        <v>16</v>
      </c>
      <c r="B10" s="29"/>
      <c r="C10" s="29"/>
      <c r="D10" s="29">
        <v>5780</v>
      </c>
      <c r="E10" s="29"/>
      <c r="F10" s="29">
        <v>5780</v>
      </c>
    </row>
    <row r="11" spans="1:6" x14ac:dyDescent="0.3">
      <c r="A11" s="35" t="s">
        <v>14</v>
      </c>
      <c r="B11" s="29">
        <v>5600</v>
      </c>
      <c r="C11" s="29"/>
      <c r="D11" s="29">
        <v>9670</v>
      </c>
      <c r="E11" s="29"/>
      <c r="F11" s="29">
        <v>15270</v>
      </c>
    </row>
    <row r="12" spans="1:6" x14ac:dyDescent="0.3">
      <c r="A12" s="35" t="s">
        <v>125</v>
      </c>
      <c r="B12" s="29">
        <v>24800</v>
      </c>
      <c r="C12" s="29">
        <v>4340</v>
      </c>
      <c r="D12" s="29">
        <v>25490</v>
      </c>
      <c r="E12" s="29">
        <v>5500</v>
      </c>
      <c r="F12" s="29">
        <v>60130</v>
      </c>
    </row>
    <row r="18" spans="1:2" x14ac:dyDescent="0.3">
      <c r="A18" s="34" t="s">
        <v>124</v>
      </c>
      <c r="B18" t="s">
        <v>131</v>
      </c>
    </row>
    <row r="19" spans="1:2" x14ac:dyDescent="0.3">
      <c r="A19" s="35" t="s">
        <v>116</v>
      </c>
      <c r="B19" s="37">
        <v>25.25</v>
      </c>
    </row>
    <row r="20" spans="1:2" x14ac:dyDescent="0.3">
      <c r="A20" s="35" t="s">
        <v>113</v>
      </c>
      <c r="B20" s="37">
        <v>29.888888888888889</v>
      </c>
    </row>
    <row r="21" spans="1:2" x14ac:dyDescent="0.3">
      <c r="A21" s="35" t="s">
        <v>125</v>
      </c>
      <c r="B21" s="37">
        <v>28.46153846153846</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D3CE9-6BF7-4CEF-A3E1-B5A79C52E3A3}">
  <dimension ref="B2:L15"/>
  <sheetViews>
    <sheetView zoomScale="130" zoomScaleNormal="130" workbookViewId="0">
      <selection activeCell="B3" sqref="B3:L3"/>
    </sheetView>
  </sheetViews>
  <sheetFormatPr defaultRowHeight="14.4" x14ac:dyDescent="0.3"/>
  <cols>
    <col min="1" max="1" width="2" customWidth="1"/>
    <col min="2" max="2" width="5.109375" bestFit="1" customWidth="1"/>
    <col min="3" max="3" width="13.33203125" bestFit="1" customWidth="1"/>
    <col min="4" max="4" width="7.88671875" customWidth="1"/>
    <col min="5" max="5" width="11.88671875" customWidth="1"/>
    <col min="6" max="6" width="8.109375" bestFit="1" customWidth="1"/>
    <col min="7" max="7" width="10.5546875" customWidth="1"/>
    <col min="8" max="8" width="5.44140625" bestFit="1" customWidth="1"/>
    <col min="9" max="9" width="15" customWidth="1"/>
    <col min="10" max="10" width="10.6640625" bestFit="1" customWidth="1"/>
    <col min="11" max="11" width="14.44140625" bestFit="1" customWidth="1"/>
    <col min="12" max="12" width="12.33203125" bestFit="1" customWidth="1"/>
    <col min="13" max="13" width="11.109375" bestFit="1" customWidth="1"/>
  </cols>
  <sheetData>
    <row r="2" spans="2:12" x14ac:dyDescent="0.3">
      <c r="B2" t="s">
        <v>102</v>
      </c>
      <c r="C2" t="s">
        <v>1</v>
      </c>
      <c r="D2" t="s">
        <v>103</v>
      </c>
      <c r="E2" t="s">
        <v>104</v>
      </c>
      <c r="F2" t="s">
        <v>105</v>
      </c>
      <c r="G2" t="s">
        <v>106</v>
      </c>
      <c r="H2" t="s">
        <v>107</v>
      </c>
      <c r="I2" t="s">
        <v>108</v>
      </c>
      <c r="J2" t="s">
        <v>109</v>
      </c>
      <c r="K2" t="s">
        <v>110</v>
      </c>
      <c r="L2" t="s">
        <v>111</v>
      </c>
    </row>
    <row r="3" spans="2:12" x14ac:dyDescent="0.3">
      <c r="B3">
        <v>1000</v>
      </c>
      <c r="C3" t="s">
        <v>112</v>
      </c>
      <c r="D3" t="s">
        <v>113</v>
      </c>
      <c r="E3" t="s">
        <v>4</v>
      </c>
      <c r="F3" t="s">
        <v>19</v>
      </c>
      <c r="G3">
        <v>1005</v>
      </c>
      <c r="H3">
        <v>23</v>
      </c>
      <c r="I3" s="29">
        <v>5000</v>
      </c>
      <c r="J3" s="29">
        <f>TblEmployee[[#This Row],[Basic Salary]]</f>
        <v>5000</v>
      </c>
      <c r="K3" s="29" cm="1">
        <f t="array" ref="K3">(100% -EPFEmployee)*TblEmployee[[#This Row],[Basic Salary]]</f>
        <v>4450</v>
      </c>
      <c r="L3" s="29">
        <f>(2*EPFEmployee + IF(TblEmployee[[#This Row],[Basic Salary]]&lt;5000,2%,1%)) * TblEmployee[[#This Row],[Basic Salary]]</f>
        <v>1150</v>
      </c>
    </row>
    <row r="4" spans="2:12" x14ac:dyDescent="0.3">
      <c r="B4">
        <v>1002</v>
      </c>
      <c r="C4" t="s">
        <v>114</v>
      </c>
      <c r="D4" t="s">
        <v>113</v>
      </c>
      <c r="E4" t="s">
        <v>13</v>
      </c>
      <c r="F4" t="s">
        <v>19</v>
      </c>
      <c r="G4">
        <v>1015</v>
      </c>
      <c r="H4">
        <v>25</v>
      </c>
      <c r="I4" s="29">
        <v>4800</v>
      </c>
      <c r="J4" s="29">
        <f>TblEmployee[[#This Row],[Basic Salary]]</f>
        <v>4800</v>
      </c>
      <c r="K4" s="29" cm="1">
        <f t="array" ref="K4">(100% -EPFEmployee)*TblEmployee[[#This Row],[Basic Salary]]</f>
        <v>4272</v>
      </c>
      <c r="L4" s="29">
        <f>(2*EPFEmployee + IF(TblEmployee[[#This Row],[Basic Salary]]&lt;5000,2%,1%)) * TblEmployee[[#This Row],[Basic Salary]]</f>
        <v>1152</v>
      </c>
    </row>
    <row r="5" spans="2:12" x14ac:dyDescent="0.3">
      <c r="B5">
        <v>1005</v>
      </c>
      <c r="C5" t="s">
        <v>115</v>
      </c>
      <c r="D5" t="s">
        <v>116</v>
      </c>
      <c r="E5" t="s">
        <v>4</v>
      </c>
      <c r="F5" t="s">
        <v>19</v>
      </c>
      <c r="G5">
        <v>1015</v>
      </c>
      <c r="H5">
        <v>26</v>
      </c>
      <c r="I5" s="29">
        <v>5100</v>
      </c>
      <c r="J5" s="29">
        <f>TblEmployee[[#This Row],[Basic Salary]]</f>
        <v>5100</v>
      </c>
      <c r="K5" s="29" cm="1">
        <f t="array" ref="K5">(100% -EPFEmployee)*TblEmployee[[#This Row],[Basic Salary]]</f>
        <v>4539</v>
      </c>
      <c r="L5" s="29">
        <f>(2*EPFEmployee + IF(TblEmployee[[#This Row],[Basic Salary]]&lt;5000,2%,1%)) * TblEmployee[[#This Row],[Basic Salary]]</f>
        <v>1173</v>
      </c>
    </row>
    <row r="6" spans="2:12" x14ac:dyDescent="0.3">
      <c r="B6">
        <v>1008</v>
      </c>
      <c r="C6" t="s">
        <v>117</v>
      </c>
      <c r="D6" t="s">
        <v>116</v>
      </c>
      <c r="E6" t="s">
        <v>4</v>
      </c>
      <c r="F6" t="s">
        <v>19</v>
      </c>
      <c r="G6">
        <v>1005</v>
      </c>
      <c r="H6">
        <v>24</v>
      </c>
      <c r="I6" s="29">
        <v>4300</v>
      </c>
      <c r="J6" s="29">
        <f>TblEmployee[[#This Row],[Basic Salary]]</f>
        <v>4300</v>
      </c>
      <c r="K6" s="29" cm="1">
        <f t="array" ref="K6">(100% -EPFEmployee)*TblEmployee[[#This Row],[Basic Salary]]</f>
        <v>3827</v>
      </c>
      <c r="L6" s="29">
        <f>(2*EPFEmployee + IF(TblEmployee[[#This Row],[Basic Salary]]&lt;5000,2%,1%)) * TblEmployee[[#This Row],[Basic Salary]]</f>
        <v>1032</v>
      </c>
    </row>
    <row r="7" spans="2:12" x14ac:dyDescent="0.3">
      <c r="B7">
        <v>1010</v>
      </c>
      <c r="C7" t="s">
        <v>5</v>
      </c>
      <c r="D7" t="s">
        <v>113</v>
      </c>
      <c r="E7" t="s">
        <v>3</v>
      </c>
      <c r="F7" t="s">
        <v>18</v>
      </c>
      <c r="G7">
        <v>1015</v>
      </c>
      <c r="H7">
        <v>29</v>
      </c>
      <c r="I7" s="29">
        <v>4700</v>
      </c>
      <c r="J7" s="29">
        <f>TblEmployee[[#This Row],[Basic Salary]]</f>
        <v>4700</v>
      </c>
      <c r="K7" s="29" cm="1">
        <f t="array" ref="K7">(100% -EPFEmployee)*TblEmployee[[#This Row],[Basic Salary]]</f>
        <v>4183</v>
      </c>
      <c r="L7" s="29">
        <f>(2*EPFEmployee + IF(TblEmployee[[#This Row],[Basic Salary]]&lt;5000,2%,1%)) * TblEmployee[[#This Row],[Basic Salary]]</f>
        <v>1128</v>
      </c>
    </row>
    <row r="8" spans="2:12" x14ac:dyDescent="0.3">
      <c r="B8">
        <v>1012</v>
      </c>
      <c r="C8" t="s">
        <v>6</v>
      </c>
      <c r="D8" t="s">
        <v>113</v>
      </c>
      <c r="E8" t="s">
        <v>13</v>
      </c>
      <c r="F8" t="s">
        <v>18</v>
      </c>
      <c r="G8">
        <v>1002</v>
      </c>
      <c r="H8">
        <v>35</v>
      </c>
      <c r="I8" s="29">
        <v>5340</v>
      </c>
      <c r="J8" s="29">
        <f>TblEmployee[[#This Row],[Basic Salary]]</f>
        <v>5340</v>
      </c>
      <c r="K8" s="29" cm="1">
        <f t="array" ref="K8">(100% -EPFEmployee)*TblEmployee[[#This Row],[Basic Salary]]</f>
        <v>4752.6000000000004</v>
      </c>
      <c r="L8" s="29">
        <f>(2*EPFEmployee + IF(TblEmployee[[#This Row],[Basic Salary]]&lt;5000,2%,1%)) * TblEmployee[[#This Row],[Basic Salary]]</f>
        <v>1228.2</v>
      </c>
    </row>
    <row r="9" spans="2:12" x14ac:dyDescent="0.3">
      <c r="B9">
        <v>1015</v>
      </c>
      <c r="C9" t="s">
        <v>118</v>
      </c>
      <c r="D9" t="s">
        <v>113</v>
      </c>
      <c r="E9" t="s">
        <v>4</v>
      </c>
      <c r="F9" t="s">
        <v>18</v>
      </c>
      <c r="H9">
        <v>40</v>
      </c>
      <c r="I9" s="29">
        <v>6500</v>
      </c>
      <c r="J9" s="29">
        <f>TblEmployee[[#This Row],[Basic Salary]]</f>
        <v>6500</v>
      </c>
      <c r="K9" s="29" cm="1">
        <f t="array" ref="K9">(100% -EPFEmployee)*TblEmployee[[#This Row],[Basic Salary]]</f>
        <v>5785</v>
      </c>
      <c r="L9" s="29">
        <f>(2*EPFEmployee + IF(TblEmployee[[#This Row],[Basic Salary]]&lt;5000,2%,1%)) * TblEmployee[[#This Row],[Basic Salary]]</f>
        <v>1495</v>
      </c>
    </row>
    <row r="10" spans="2:12" x14ac:dyDescent="0.3">
      <c r="B10">
        <v>1017</v>
      </c>
      <c r="C10" t="s">
        <v>119</v>
      </c>
      <c r="D10" t="s">
        <v>113</v>
      </c>
      <c r="E10" t="s">
        <v>15</v>
      </c>
      <c r="G10">
        <v>1015</v>
      </c>
      <c r="H10">
        <v>32</v>
      </c>
      <c r="I10" s="29">
        <v>5500</v>
      </c>
      <c r="J10" s="29">
        <f>TblEmployee[[#This Row],[Basic Salary]]</f>
        <v>5500</v>
      </c>
      <c r="K10" s="29" cm="1">
        <f t="array" ref="K10">(100% -EPFEmployee)*TblEmployee[[#This Row],[Basic Salary]]</f>
        <v>4895</v>
      </c>
      <c r="L10" s="29">
        <f>(2*EPFEmployee + IF(TblEmployee[[#This Row],[Basic Salary]]&lt;5000,2%,1%)) * TblEmployee[[#This Row],[Basic Salary]]</f>
        <v>1265</v>
      </c>
    </row>
    <row r="11" spans="2:12" x14ac:dyDescent="0.3">
      <c r="B11">
        <v>1020</v>
      </c>
      <c r="C11" t="s">
        <v>120</v>
      </c>
      <c r="D11" t="s">
        <v>113</v>
      </c>
      <c r="E11" t="s">
        <v>14</v>
      </c>
      <c r="F11" t="s">
        <v>19</v>
      </c>
      <c r="G11">
        <v>1028</v>
      </c>
      <c r="H11">
        <v>28</v>
      </c>
      <c r="I11" s="29">
        <v>5600</v>
      </c>
      <c r="J11" s="29">
        <f>TblEmployee[[#This Row],[Basic Salary]]</f>
        <v>5600</v>
      </c>
      <c r="K11" s="29" cm="1">
        <f t="array" ref="K11">(100% -EPFEmployee)*TblEmployee[[#This Row],[Basic Salary]]</f>
        <v>4984</v>
      </c>
      <c r="L11" s="29">
        <f>(2*EPFEmployee + IF(TblEmployee[[#This Row],[Basic Salary]]&lt;5000,2%,1%)) * TblEmployee[[#This Row],[Basic Salary]]</f>
        <v>1288</v>
      </c>
    </row>
    <row r="12" spans="2:12" x14ac:dyDescent="0.3">
      <c r="B12">
        <v>1022</v>
      </c>
      <c r="C12" t="s">
        <v>7</v>
      </c>
      <c r="D12" t="s">
        <v>113</v>
      </c>
      <c r="E12" t="s">
        <v>16</v>
      </c>
      <c r="F12" t="s">
        <v>18</v>
      </c>
      <c r="G12">
        <v>1015</v>
      </c>
      <c r="H12">
        <v>30</v>
      </c>
      <c r="I12" s="29">
        <v>5780</v>
      </c>
      <c r="J12" s="29">
        <f>TblEmployee[[#This Row],[Basic Salary]]</f>
        <v>5780</v>
      </c>
      <c r="K12" s="29" cm="1">
        <f t="array" ref="K12">(100% -EPFEmployee)*TblEmployee[[#This Row],[Basic Salary]]</f>
        <v>5144.2</v>
      </c>
      <c r="L12" s="29">
        <f>(2*EPFEmployee + IF(TblEmployee[[#This Row],[Basic Salary]]&lt;5000,2%,1%)) * TblEmployee[[#This Row],[Basic Salary]]</f>
        <v>1329.4</v>
      </c>
    </row>
    <row r="13" spans="2:12" x14ac:dyDescent="0.3">
      <c r="B13">
        <v>1028</v>
      </c>
      <c r="C13" t="s">
        <v>121</v>
      </c>
      <c r="D13" t="s">
        <v>116</v>
      </c>
      <c r="E13" t="s">
        <v>14</v>
      </c>
      <c r="F13" t="s">
        <v>18</v>
      </c>
      <c r="G13">
        <v>1015</v>
      </c>
      <c r="H13">
        <v>25</v>
      </c>
      <c r="I13" s="29">
        <v>4325</v>
      </c>
      <c r="J13" s="29">
        <f>TblEmployee[[#This Row],[Basic Salary]]</f>
        <v>4325</v>
      </c>
      <c r="K13" s="29" cm="1">
        <f t="array" ref="K13">(100% -EPFEmployee)*TblEmployee[[#This Row],[Basic Salary]]</f>
        <v>3849.25</v>
      </c>
      <c r="L13" s="29">
        <f>(2*EPFEmployee + IF(TblEmployee[[#This Row],[Basic Salary]]&lt;5000,2%,1%)) * TblEmployee[[#This Row],[Basic Salary]]</f>
        <v>1038</v>
      </c>
    </row>
    <row r="14" spans="2:12" x14ac:dyDescent="0.3">
      <c r="B14">
        <v>1030</v>
      </c>
      <c r="C14" t="s">
        <v>122</v>
      </c>
      <c r="D14" t="s">
        <v>113</v>
      </c>
      <c r="E14" t="s">
        <v>13</v>
      </c>
      <c r="F14" t="s">
        <v>20</v>
      </c>
      <c r="G14">
        <v>1002</v>
      </c>
      <c r="H14">
        <v>27</v>
      </c>
      <c r="I14" s="29">
        <v>4340</v>
      </c>
      <c r="J14" s="29">
        <f>TblEmployee[[#This Row],[Basic Salary]]</f>
        <v>4340</v>
      </c>
      <c r="K14" s="29" cm="1">
        <f t="array" ref="K14">(100% -EPFEmployee)*TblEmployee[[#This Row],[Basic Salary]]</f>
        <v>3862.6</v>
      </c>
      <c r="L14" s="29">
        <f>(2*EPFEmployee + IF(TblEmployee[[#This Row],[Basic Salary]]&lt;5000,2%,1%)) * TblEmployee[[#This Row],[Basic Salary]]</f>
        <v>1041.5999999999999</v>
      </c>
    </row>
    <row r="15" spans="2:12" x14ac:dyDescent="0.3">
      <c r="B15">
        <v>1032</v>
      </c>
      <c r="C15" t="s">
        <v>123</v>
      </c>
      <c r="D15" t="s">
        <v>116</v>
      </c>
      <c r="E15" t="s">
        <v>14</v>
      </c>
      <c r="F15" t="s">
        <v>18</v>
      </c>
      <c r="G15">
        <v>1015</v>
      </c>
      <c r="H15">
        <v>26</v>
      </c>
      <c r="I15" s="29">
        <v>5345</v>
      </c>
      <c r="J15" s="29">
        <f>TblEmployee[[#This Row],[Basic Salary]]</f>
        <v>5345</v>
      </c>
      <c r="K15" s="29" cm="1">
        <f t="array" ref="K15">(100% -EPFEmployee)*TblEmployee[[#This Row],[Basic Salary]]</f>
        <v>4757.05</v>
      </c>
      <c r="L15" s="29">
        <f>(2*EPFEmployee + IF(TblEmployee[[#This Row],[Basic Salary]]&lt;5000,2%,1%)) * TblEmployee[[#This Row],[Basic Salary]]</f>
        <v>1229.3500000000001</v>
      </c>
    </row>
  </sheetData>
  <conditionalFormatting sqref="B3:B15">
    <cfRule type="duplicateValues" dxfId="4" priority="5"/>
  </conditionalFormatting>
  <conditionalFormatting sqref="H3:H15">
    <cfRule type="cellIs" dxfId="3" priority="1" operator="greaterThanOrEqual">
      <formula>35</formula>
    </cfRule>
    <cfRule type="cellIs" dxfId="2" priority="2" operator="lessThan">
      <formula>25</formula>
    </cfRule>
  </conditionalFormatting>
  <conditionalFormatting sqref="I3:I15">
    <cfRule type="colorScale" priority="4">
      <colorScale>
        <cfvo type="min"/>
        <cfvo type="max"/>
        <color rgb="FFFCFCFF"/>
        <color rgb="FFF8696B"/>
      </colorScale>
    </cfRule>
  </conditionalFormatting>
  <conditionalFormatting sqref="J3:J15">
    <cfRule type="dataBar" priority="3">
      <dataBar showValue="0">
        <cfvo type="min"/>
        <cfvo type="max"/>
        <color rgb="FFD6007B"/>
      </dataBar>
      <extLst>
        <ext xmlns:x14="http://schemas.microsoft.com/office/spreadsheetml/2009/9/main" uri="{B025F937-C7B1-47D3-B67F-A62EFF666E3E}">
          <x14:id>{38CF67F4-0C38-4504-BF4D-AC55930EA47B}</x14:id>
        </ext>
      </extLst>
    </cfRule>
  </conditionalFormatting>
  <dataValidations count="6">
    <dataValidation type="list" allowBlank="1" showInputMessage="1" showErrorMessage="1" sqref="G3:G15" xr:uid="{7582009B-9882-4A1C-9FB7-A1F78BFBF320}">
      <formula1>INDIRECT("TblEmployee[EID]")</formula1>
    </dataValidation>
    <dataValidation type="list" allowBlank="1" showInputMessage="1" showErrorMessage="1" sqref="F3:F15" xr:uid="{CDA084CF-69CC-4687-A1B4-C92104DF4EC4}">
      <formula1>INDIRECT("TblRace[Race Name]")</formula1>
    </dataValidation>
    <dataValidation type="list" allowBlank="1" showInputMessage="1" showErrorMessage="1" sqref="E3:E15" xr:uid="{B150CCD0-A7E0-44A9-BA21-FC37E5AA040B}">
      <formula1>INDIRECT("TblDepartment[DID]")</formula1>
    </dataValidation>
    <dataValidation type="list" allowBlank="1" showInputMessage="1" showErrorMessage="1" errorTitle="Gender Code Error" error="Invalid Gender Code!" prompt="M=Male_x000a_F=Female_x000a_O=Others" sqref="D3:D15" xr:uid="{A3691DBC-10AD-4737-BBC2-136C4CE33A17}">
      <formula1>"M,F,O"</formula1>
    </dataValidation>
    <dataValidation type="decimal" operator="greaterThanOrEqual" allowBlank="1" showInputMessage="1" showErrorMessage="1" errorTitle="Basic Salary Error" error="Invalid Basic Salary!" prompt="Min Basic Salary in Malaysia is $1500" sqref="I3:I15" xr:uid="{9D3A144C-B2C5-47DF-AFFC-ED52C2ADD384}">
      <formula1>1500</formula1>
    </dataValidation>
    <dataValidation type="whole" allowBlank="1" showInputMessage="1" showErrorMessage="1" errorTitle="Age Error" error="Invalid Employee Age?" prompt="Valid employee age in Malaysia is between 16 to 60 (Inclusive)" sqref="H3:H15" xr:uid="{8B482BB8-E7BF-4D3F-AA04-45A6C346584D}">
      <formula1>16</formula1>
      <formula2>60</formula2>
    </dataValidation>
  </dataValidations>
  <pageMargins left="0.7" right="0.7" top="0.75" bottom="0.75" header="0.3" footer="0.3"/>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8CF67F4-0C38-4504-BF4D-AC55930EA47B}">
            <x14:dataBar minLength="0" maxLength="100" gradient="0">
              <x14:cfvo type="autoMin"/>
              <x14:cfvo type="autoMax"/>
              <x14:negativeFillColor rgb="FFFF0000"/>
              <x14:axisColor rgb="FF000000"/>
            </x14:dataBar>
          </x14:cfRule>
          <xm:sqref>J3:J15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9939-9788-4B39-8D56-6582093D1A73}">
  <dimension ref="B2:J8"/>
  <sheetViews>
    <sheetView zoomScale="190" zoomScaleNormal="190" workbookViewId="0">
      <selection activeCell="I13" sqref="I13"/>
    </sheetView>
  </sheetViews>
  <sheetFormatPr defaultRowHeight="14.4" x14ac:dyDescent="0.3"/>
  <cols>
    <col min="1" max="1" width="1.33203125" customWidth="1"/>
    <col min="2" max="2" width="5.21875" bestFit="1" customWidth="1"/>
    <col min="3" max="3" width="12.6640625" bestFit="1" customWidth="1"/>
    <col min="4" max="7" width="5.77734375" customWidth="1"/>
    <col min="8" max="8" width="8" bestFit="1" customWidth="1"/>
    <col min="9" max="9" width="24.21875" bestFit="1" customWidth="1"/>
    <col min="10" max="10" width="16.77734375" customWidth="1"/>
  </cols>
  <sheetData>
    <row r="2" spans="2:10" x14ac:dyDescent="0.3">
      <c r="B2" s="38" t="s">
        <v>102</v>
      </c>
      <c r="C2" s="38" t="s">
        <v>1</v>
      </c>
      <c r="D2" s="38" t="s">
        <v>132</v>
      </c>
      <c r="E2" s="38" t="s">
        <v>133</v>
      </c>
      <c r="F2" s="38" t="s">
        <v>134</v>
      </c>
      <c r="G2" s="38" t="s">
        <v>135</v>
      </c>
      <c r="H2" s="38" t="s">
        <v>136</v>
      </c>
      <c r="I2" s="38" t="s">
        <v>23</v>
      </c>
      <c r="J2" s="38" t="s">
        <v>137</v>
      </c>
    </row>
    <row r="3" spans="2:10" x14ac:dyDescent="0.3">
      <c r="B3">
        <v>1000</v>
      </c>
      <c r="C3" t="str">
        <f>IF(TblApraisal[[#This Row],[EID]]&lt;&gt;"",VLOOKUP(TblApraisal[[#This Row],[EID]],TblEmployee[],2,FALSE),"")</f>
        <v>Tong Sam Pah</v>
      </c>
      <c r="D3" s="37">
        <v>98</v>
      </c>
      <c r="E3" s="37">
        <v>95</v>
      </c>
      <c r="F3" s="37">
        <v>90</v>
      </c>
      <c r="G3" s="37">
        <v>80</v>
      </c>
      <c r="H3" s="37">
        <f>IFERROR(AVERAGE(TblApraisal[[#This Row],[Q1]:[Q4]]),"")</f>
        <v>90.75</v>
      </c>
      <c r="I3" t="str">
        <f>IF(TblApraisal[[#This Row],[Average]]&lt;&gt;"",VLOOKUP(H3,TblAction[],2,TRUE),"")</f>
        <v>Increase Salary + Promotion</v>
      </c>
      <c r="J3" s="37"/>
    </row>
    <row r="4" spans="2:10" x14ac:dyDescent="0.3">
      <c r="B4">
        <v>1002</v>
      </c>
      <c r="C4" t="str">
        <f>IF(TblApraisal[[#This Row],[EID]]&lt;&gt;"",VLOOKUP(TblApraisal[[#This Row],[EID]],TblEmployee[],2,FALSE),"")</f>
        <v>Yong Tau Foo</v>
      </c>
      <c r="D4" s="37">
        <v>10</v>
      </c>
      <c r="E4" s="37">
        <v>15</v>
      </c>
      <c r="F4" s="37">
        <v>20</v>
      </c>
      <c r="G4" s="37">
        <v>45</v>
      </c>
      <c r="H4" s="37">
        <f>IFERROR(AVERAGE(TblApraisal[[#This Row],[Q1]:[Q4]]),"")</f>
        <v>22.5</v>
      </c>
      <c r="I4" t="str">
        <f>IF(TblApraisal[[#This Row],[Average]]&lt;&gt;"",VLOOKUP(H4,TblAction[],2,TRUE),"")</f>
        <v>Warning Letter</v>
      </c>
      <c r="J4" s="37"/>
    </row>
    <row r="5" spans="2:10" x14ac:dyDescent="0.3">
      <c r="B5">
        <v>1005</v>
      </c>
      <c r="C5" s="36" t="str">
        <f>IF(TblApraisal[[#This Row],[EID]]&lt;&gt;"",VLOOKUP(TblApraisal[[#This Row],[EID]],TblEmployee[],2,FALSE),"")</f>
        <v>Low Mee</v>
      </c>
      <c r="D5" s="37">
        <v>50</v>
      </c>
      <c r="E5" s="37">
        <v>56</v>
      </c>
      <c r="F5" s="37">
        <v>65</v>
      </c>
      <c r="G5" s="37">
        <v>58</v>
      </c>
      <c r="H5" s="37">
        <f>IFERROR(AVERAGE(TblApraisal[[#This Row],[Q1]:[Q4]]),"")</f>
        <v>57.25</v>
      </c>
      <c r="I5" s="36" t="str">
        <f>IF(TblApraisal[[#This Row],[Average]]&lt;&gt;"",VLOOKUP(H5,TblAction[],2,TRUE),"")</f>
        <v xml:space="preserve"> </v>
      </c>
      <c r="J5" s="37"/>
    </row>
    <row r="6" spans="2:10" x14ac:dyDescent="0.3">
      <c r="B6">
        <v>1008</v>
      </c>
      <c r="C6" s="36" t="str">
        <f>IF(TblApraisal[[#This Row],[EID]]&lt;&gt;"",VLOOKUP(TblApraisal[[#This Row],[EID]],TblEmployee[],2,FALSE),"")</f>
        <v>Low Shi Fun</v>
      </c>
      <c r="D6" s="37">
        <v>90</v>
      </c>
      <c r="E6" s="37">
        <v>92</v>
      </c>
      <c r="F6" s="37">
        <v>85</v>
      </c>
      <c r="G6" s="37">
        <v>86</v>
      </c>
      <c r="H6" s="37">
        <f>IFERROR(AVERAGE(TblApraisal[[#This Row],[Q1]:[Q4]]),"")</f>
        <v>88.25</v>
      </c>
      <c r="I6" s="36" t="str">
        <f>IF(TblApraisal[[#This Row],[Average]]&lt;&gt;"",VLOOKUP(H6,TblAction[],2,TRUE),"")</f>
        <v>Promotion</v>
      </c>
      <c r="J6" s="37"/>
    </row>
    <row r="7" spans="2:10" x14ac:dyDescent="0.3">
      <c r="B7">
        <v>1010</v>
      </c>
      <c r="C7" s="36" t="str">
        <f>IF(TblApraisal[[#This Row],[EID]]&lt;&gt;"",VLOOKUP(TblApraisal[[#This Row],[EID]],TblEmployee[],2,FALSE),"")</f>
        <v>Ali</v>
      </c>
      <c r="D7" s="37">
        <v>88</v>
      </c>
      <c r="E7" s="37">
        <v>75</v>
      </c>
      <c r="F7" s="37">
        <v>60</v>
      </c>
      <c r="G7" s="37">
        <v>65</v>
      </c>
      <c r="H7" s="37">
        <f>IFERROR(AVERAGE(TblApraisal[[#This Row],[Q1]:[Q4]]),"")</f>
        <v>72</v>
      </c>
      <c r="I7" s="36" t="str">
        <f>IF(TblApraisal[[#This Row],[Average]]&lt;&gt;"",VLOOKUP(H7,TblAction[],2,TRUE),"")</f>
        <v>Increase Salary</v>
      </c>
      <c r="J7" s="37"/>
    </row>
    <row r="8" spans="2:10" x14ac:dyDescent="0.3">
      <c r="B8">
        <v>1012</v>
      </c>
      <c r="C8" s="36" t="str">
        <f>IF(TblApraisal[[#This Row],[EID]]&lt;&gt;"",VLOOKUP(TblApraisal[[#This Row],[EID]],TblEmployee[],2,FALSE),"")</f>
        <v>Abu</v>
      </c>
      <c r="D8" s="37">
        <v>65</v>
      </c>
      <c r="E8" s="37">
        <v>75</v>
      </c>
      <c r="F8" s="37">
        <v>88</v>
      </c>
      <c r="G8" s="37">
        <v>76</v>
      </c>
      <c r="H8" s="37">
        <f>IFERROR(AVERAGE(TblApraisal[[#This Row],[Q1]:[Q4]]),"")</f>
        <v>76</v>
      </c>
      <c r="I8" s="36" t="str">
        <f>IF(TblApraisal[[#This Row],[Average]]&lt;&gt;"",VLOOKUP(H8,TblAction[],2,TRUE),"")</f>
        <v>Increase Salary</v>
      </c>
      <c r="J8" s="37"/>
    </row>
  </sheetData>
  <dataValidations count="2">
    <dataValidation type="list" allowBlank="1" showInputMessage="1" showErrorMessage="1" sqref="B3:B8" xr:uid="{7ECEEE58-76B7-4B0C-AD36-236339EBDECD}">
      <formula1>INDIRECT("TblEmployee[EID]")</formula1>
    </dataValidation>
    <dataValidation type="decimal" allowBlank="1" showInputMessage="1" showErrorMessage="1" sqref="D3:G8" xr:uid="{273E930C-F7B8-4CDC-B621-A42F66B995EA}">
      <formula1>0</formula1>
      <formula2>100</formula2>
    </dataValidation>
  </dataValidations>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xr2:uid="{E1328D2E-F2D4-4CB7-AF49-7649DA1E3B1B}">
          <x14:colorSeries rgb="FF376092"/>
          <x14:colorNegative rgb="FFD00000"/>
          <x14:colorAxis rgb="FF000000"/>
          <x14:colorMarkers rgb="FFD00000"/>
          <x14:colorFirst rgb="FFD00000"/>
          <x14:colorLast rgb="FFD00000"/>
          <x14:colorHigh rgb="FFD00000"/>
          <x14:colorLow rgb="FFD00000"/>
          <x14:sparklines>
            <x14:sparkline>
              <xm:f>Apraisal!D3:G3</xm:f>
              <xm:sqref>J3</xm:sqref>
            </x14:sparkline>
            <x14:sparkline>
              <xm:f>Apraisal!D4:G4</xm:f>
              <xm:sqref>J4</xm:sqref>
            </x14:sparkline>
            <x14:sparkline>
              <xm:f>Apraisal!D5:G5</xm:f>
              <xm:sqref>J5</xm:sqref>
            </x14:sparkline>
            <x14:sparkline>
              <xm:f>Apraisal!D6:G6</xm:f>
              <xm:sqref>J6</xm:sqref>
            </x14:sparkline>
            <x14:sparkline>
              <xm:f>Apraisal!D7:G7</xm:f>
              <xm:sqref>J7</xm:sqref>
            </x14:sparkline>
            <x14:sparkline>
              <xm:f>Apraisal!D8:G8</xm:f>
              <xm:sqref>J8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3271-D191-4B07-A837-A58796FDD364}">
  <sheetPr codeName="Sheet16"/>
  <dimension ref="B3:H24"/>
  <sheetViews>
    <sheetView topLeftCell="B1" zoomScale="130" zoomScaleNormal="130" workbookViewId="0">
      <selection activeCell="H6" sqref="H6"/>
    </sheetView>
  </sheetViews>
  <sheetFormatPr defaultRowHeight="14.4" x14ac:dyDescent="0.3"/>
  <cols>
    <col min="2" max="2" width="5.5546875" bestFit="1" customWidth="1"/>
    <col min="3" max="3" width="23.88671875" bestFit="1" customWidth="1"/>
    <col min="4" max="4" width="9.44140625" customWidth="1"/>
    <col min="5" max="5" width="10.44140625" bestFit="1" customWidth="1"/>
    <col min="6" max="6" width="4.6640625" bestFit="1" customWidth="1"/>
    <col min="7" max="7" width="20.44140625" bestFit="1" customWidth="1"/>
    <col min="8" max="8" width="24.44140625" bestFit="1" customWidth="1"/>
  </cols>
  <sheetData>
    <row r="3" spans="2:8" x14ac:dyDescent="0.3">
      <c r="B3" t="s">
        <v>101</v>
      </c>
      <c r="C3" t="s">
        <v>1</v>
      </c>
      <c r="E3" t="s">
        <v>21</v>
      </c>
      <c r="G3" t="s">
        <v>22</v>
      </c>
      <c r="H3" t="s">
        <v>23</v>
      </c>
    </row>
    <row r="4" spans="2:8" x14ac:dyDescent="0.3">
      <c r="B4" t="s">
        <v>4</v>
      </c>
      <c r="C4" t="s">
        <v>11</v>
      </c>
      <c r="E4" t="s">
        <v>18</v>
      </c>
      <c r="G4">
        <v>0</v>
      </c>
      <c r="H4" t="s">
        <v>24</v>
      </c>
    </row>
    <row r="5" spans="2:8" x14ac:dyDescent="0.3">
      <c r="B5" t="s">
        <v>3</v>
      </c>
      <c r="C5" t="s">
        <v>12</v>
      </c>
      <c r="E5" t="s">
        <v>19</v>
      </c>
      <c r="G5">
        <v>40</v>
      </c>
      <c r="H5" t="s">
        <v>25</v>
      </c>
    </row>
    <row r="6" spans="2:8" x14ac:dyDescent="0.3">
      <c r="B6" t="s">
        <v>13</v>
      </c>
      <c r="C6" t="s">
        <v>8</v>
      </c>
      <c r="E6" t="s">
        <v>20</v>
      </c>
      <c r="G6">
        <v>70</v>
      </c>
      <c r="H6" t="s">
        <v>26</v>
      </c>
    </row>
    <row r="7" spans="2:8" x14ac:dyDescent="0.3">
      <c r="B7" t="s">
        <v>14</v>
      </c>
      <c r="C7" t="s">
        <v>2</v>
      </c>
      <c r="G7">
        <v>80</v>
      </c>
      <c r="H7" t="s">
        <v>27</v>
      </c>
    </row>
    <row r="8" spans="2:8" x14ac:dyDescent="0.3">
      <c r="B8" t="s">
        <v>15</v>
      </c>
      <c r="C8" t="s">
        <v>9</v>
      </c>
      <c r="G8">
        <v>90</v>
      </c>
      <c r="H8" t="s">
        <v>28</v>
      </c>
    </row>
    <row r="9" spans="2:8" x14ac:dyDescent="0.3">
      <c r="B9" t="s">
        <v>16</v>
      </c>
      <c r="C9" t="s">
        <v>17</v>
      </c>
    </row>
    <row r="13" spans="2:8" x14ac:dyDescent="0.3">
      <c r="E13" t="s">
        <v>29</v>
      </c>
      <c r="F13" t="s">
        <v>30</v>
      </c>
      <c r="G13" t="s">
        <v>31</v>
      </c>
    </row>
    <row r="14" spans="2:8" x14ac:dyDescent="0.3">
      <c r="E14" t="s">
        <v>32</v>
      </c>
      <c r="F14" s="2">
        <v>0.1</v>
      </c>
      <c r="G14" t="s">
        <v>33</v>
      </c>
    </row>
    <row r="15" spans="2:8" x14ac:dyDescent="0.3">
      <c r="E15" t="s">
        <v>34</v>
      </c>
      <c r="F15" s="2">
        <v>0.15</v>
      </c>
      <c r="G15" t="s">
        <v>35</v>
      </c>
    </row>
    <row r="16" spans="2:8" x14ac:dyDescent="0.3">
      <c r="E16" t="s">
        <v>36</v>
      </c>
      <c r="F16" s="2">
        <v>0.25</v>
      </c>
      <c r="G16" t="s">
        <v>37</v>
      </c>
    </row>
    <row r="19" spans="5:6" x14ac:dyDescent="0.3">
      <c r="E19" t="s">
        <v>38</v>
      </c>
      <c r="F19" t="s">
        <v>39</v>
      </c>
    </row>
    <row r="20" spans="5:6" x14ac:dyDescent="0.3">
      <c r="E20" t="s">
        <v>40</v>
      </c>
      <c r="F20" s="2">
        <v>0.08</v>
      </c>
    </row>
    <row r="21" spans="5:6" x14ac:dyDescent="0.3">
      <c r="E21" t="s">
        <v>41</v>
      </c>
      <c r="F21" s="2">
        <v>0.06</v>
      </c>
    </row>
    <row r="22" spans="5:6" x14ac:dyDescent="0.3">
      <c r="E22" t="s">
        <v>42</v>
      </c>
      <c r="F22" s="2">
        <v>7.0000000000000007E-2</v>
      </c>
    </row>
    <row r="23" spans="5:6" x14ac:dyDescent="0.3">
      <c r="E23" t="s">
        <v>43</v>
      </c>
      <c r="F23" s="2">
        <v>0.05</v>
      </c>
    </row>
    <row r="24" spans="5:6" x14ac:dyDescent="0.3">
      <c r="E24" t="s">
        <v>44</v>
      </c>
      <c r="F24" s="2">
        <v>7.0000000000000007E-2</v>
      </c>
    </row>
  </sheetData>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17CF3-0ECA-4C55-8757-842137293756}">
  <dimension ref="B4:D14"/>
  <sheetViews>
    <sheetView zoomScale="130" zoomScaleNormal="130" workbookViewId="0">
      <selection activeCell="D13" sqref="D13"/>
    </sheetView>
  </sheetViews>
  <sheetFormatPr defaultRowHeight="14.4" x14ac:dyDescent="0.3"/>
  <cols>
    <col min="1" max="1" width="3.109375" customWidth="1"/>
    <col min="2" max="2" width="11.88671875" bestFit="1" customWidth="1"/>
    <col min="3" max="3" width="34.88671875" bestFit="1" customWidth="1"/>
  </cols>
  <sheetData>
    <row r="4" spans="2:4" x14ac:dyDescent="0.3">
      <c r="B4" s="27" t="s">
        <v>85</v>
      </c>
      <c r="C4">
        <v>100</v>
      </c>
    </row>
    <row r="5" spans="2:4" x14ac:dyDescent="0.3">
      <c r="B5" s="27" t="s">
        <v>86</v>
      </c>
      <c r="C5">
        <v>25</v>
      </c>
    </row>
    <row r="6" spans="2:4" x14ac:dyDescent="0.3">
      <c r="B6" s="27" t="s">
        <v>87</v>
      </c>
      <c r="C6">
        <f>UnitPrice*Quantity</f>
        <v>2500</v>
      </c>
    </row>
    <row r="7" spans="2:4" x14ac:dyDescent="0.3">
      <c r="B7" s="27" t="s">
        <v>88</v>
      </c>
      <c r="C7">
        <v>7</v>
      </c>
      <c r="D7" t="s">
        <v>96</v>
      </c>
    </row>
    <row r="8" spans="2:4" x14ac:dyDescent="0.3">
      <c r="B8" s="27" t="s">
        <v>89</v>
      </c>
      <c r="C8">
        <f>SubTotal1*(100-Discount)/100</f>
        <v>2325</v>
      </c>
    </row>
    <row r="9" spans="2:4" x14ac:dyDescent="0.3">
      <c r="B9" s="27" t="s">
        <v>90</v>
      </c>
      <c r="C9" t="b">
        <v>1</v>
      </c>
    </row>
    <row r="10" spans="2:4" x14ac:dyDescent="0.3">
      <c r="B10" s="27" t="s">
        <v>91</v>
      </c>
      <c r="C10">
        <f>SubTotal2*(100%+IF(GST?,6%,0%))</f>
        <v>2464.5</v>
      </c>
    </row>
    <row r="11" spans="2:4" x14ac:dyDescent="0.3">
      <c r="B11" s="27" t="s">
        <v>92</v>
      </c>
      <c r="C11" t="s">
        <v>32</v>
      </c>
    </row>
    <row r="12" spans="2:4" x14ac:dyDescent="0.3">
      <c r="B12" s="27" t="s">
        <v>93</v>
      </c>
      <c r="C12">
        <f>SubTotal3*(100% + IFERROR(VLOOKUP(DeliveryBy,TblDelivery[],2,FALSE),0))</f>
        <v>2710.9500000000003</v>
      </c>
    </row>
    <row r="13" spans="2:4" x14ac:dyDescent="0.3">
      <c r="B13" s="27" t="s">
        <v>94</v>
      </c>
      <c r="C13" t="s">
        <v>41</v>
      </c>
    </row>
    <row r="14" spans="2:4" x14ac:dyDescent="0.3">
      <c r="B14" s="27" t="s">
        <v>95</v>
      </c>
      <c r="C14">
        <f>SubTotal4*(100%+IFERROR(VLOOKUP(Destination,TblTax[],2,FALSE),0))</f>
        <v>2873.6070000000004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3E2-633B-41E1-A9BF-C1C59B88B0F5}">
  <sheetPr codeName="Sheet17"/>
  <dimension ref="A1:E4"/>
  <sheetViews>
    <sheetView zoomScale="160" zoomScaleNormal="160" workbookViewId="0">
      <selection activeCell="B3" sqref="B3"/>
    </sheetView>
  </sheetViews>
  <sheetFormatPr defaultRowHeight="14.4" x14ac:dyDescent="0.3"/>
  <cols>
    <col min="2" max="5" width="11.6640625" bestFit="1" customWidth="1"/>
  </cols>
  <sheetData>
    <row r="1" spans="1:5" x14ac:dyDescent="0.3">
      <c r="A1" s="6" t="s">
        <v>45</v>
      </c>
      <c r="B1" s="6" t="s">
        <v>46</v>
      </c>
      <c r="C1" s="6" t="s">
        <v>47</v>
      </c>
      <c r="D1" s="6" t="s">
        <v>48</v>
      </c>
      <c r="E1" s="6" t="s">
        <v>10</v>
      </c>
    </row>
    <row r="2" spans="1:5" x14ac:dyDescent="0.3">
      <c r="A2" s="7" t="s">
        <v>49</v>
      </c>
      <c r="B2" s="8">
        <v>20000</v>
      </c>
      <c r="C2" s="8">
        <v>15000</v>
      </c>
      <c r="D2" s="8">
        <v>22000</v>
      </c>
      <c r="E2" s="8">
        <f>D2+B2-C2</f>
        <v>27000</v>
      </c>
    </row>
    <row r="3" spans="1:5" x14ac:dyDescent="0.3">
      <c r="A3" s="7" t="s">
        <v>50</v>
      </c>
      <c r="B3" s="8">
        <v>18000</v>
      </c>
      <c r="C3" s="8">
        <v>19000</v>
      </c>
      <c r="D3" s="8">
        <v>10000</v>
      </c>
      <c r="E3" s="8">
        <f t="shared" ref="E3:E4" si="0">D3+B3-C3</f>
        <v>9000</v>
      </c>
    </row>
    <row r="4" spans="1:5" x14ac:dyDescent="0.3">
      <c r="A4" s="7" t="s">
        <v>51</v>
      </c>
      <c r="B4" s="8">
        <v>23000</v>
      </c>
      <c r="C4" s="8">
        <v>21000</v>
      </c>
      <c r="D4" s="8">
        <v>15000</v>
      </c>
      <c r="E4" s="8">
        <f t="shared" si="0"/>
        <v>17000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163ED-175B-4D5C-90A2-4883D193E10F}">
  <sheetPr codeName="Sheet18"/>
  <dimension ref="B5:F8"/>
  <sheetViews>
    <sheetView zoomScale="160" zoomScaleNormal="160" workbookViewId="0">
      <selection activeCell="C6" sqref="C6:E8"/>
    </sheetView>
  </sheetViews>
  <sheetFormatPr defaultRowHeight="14.4" x14ac:dyDescent="0.3"/>
  <cols>
    <col min="2" max="5" width="11.6640625" bestFit="1" customWidth="1"/>
    <col min="6" max="6" width="11.33203125" bestFit="1" customWidth="1"/>
  </cols>
  <sheetData>
    <row r="5" spans="2:6" x14ac:dyDescent="0.3">
      <c r="B5" s="6" t="s">
        <v>45</v>
      </c>
      <c r="C5" s="6" t="s">
        <v>46</v>
      </c>
      <c r="D5" s="6" t="s">
        <v>47</v>
      </c>
      <c r="E5" s="6" t="s">
        <v>48</v>
      </c>
      <c r="F5" s="6" t="s">
        <v>10</v>
      </c>
    </row>
    <row r="6" spans="2:6" x14ac:dyDescent="0.3">
      <c r="B6" s="7" t="s">
        <v>49</v>
      </c>
      <c r="C6" s="8">
        <v>18000</v>
      </c>
      <c r="D6" s="8">
        <v>16000</v>
      </c>
      <c r="E6" s="8">
        <v>21000</v>
      </c>
      <c r="F6" s="8">
        <f>E6+C6-D6</f>
        <v>23000</v>
      </c>
    </row>
    <row r="7" spans="2:6" x14ac:dyDescent="0.3">
      <c r="B7" s="7" t="s">
        <v>50</v>
      </c>
      <c r="C7" s="8">
        <v>19000</v>
      </c>
      <c r="D7" s="8">
        <v>19000</v>
      </c>
      <c r="E7" s="8">
        <v>10000</v>
      </c>
      <c r="F7" s="8">
        <f t="shared" ref="F7:F8" si="0">E7+C7-D7</f>
        <v>10000</v>
      </c>
    </row>
    <row r="8" spans="2:6" x14ac:dyDescent="0.3">
      <c r="B8" s="7" t="s">
        <v>51</v>
      </c>
      <c r="C8" s="8">
        <v>22000</v>
      </c>
      <c r="D8" s="8">
        <v>21000</v>
      </c>
      <c r="E8" s="8">
        <v>15000</v>
      </c>
      <c r="F8" s="8">
        <f t="shared" si="0"/>
        <v>16000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A43E-AACA-47E8-BEB5-434D480F8C91}">
  <sheetPr codeName="Sheet19"/>
  <dimension ref="A1:E4"/>
  <sheetViews>
    <sheetView zoomScale="160" zoomScaleNormal="160" workbookViewId="0">
      <selection activeCell="B2" sqref="B2"/>
    </sheetView>
  </sheetViews>
  <sheetFormatPr defaultRowHeight="14.4" x14ac:dyDescent="0.3"/>
  <cols>
    <col min="2" max="5" width="11.6640625" bestFit="1" customWidth="1"/>
  </cols>
  <sheetData>
    <row r="1" spans="1:5" x14ac:dyDescent="0.3">
      <c r="A1" s="6" t="s">
        <v>45</v>
      </c>
      <c r="B1" s="6" t="s">
        <v>46</v>
      </c>
      <c r="C1" s="6" t="s">
        <v>47</v>
      </c>
      <c r="D1" s="6" t="s">
        <v>48</v>
      </c>
      <c r="E1" s="6" t="s">
        <v>10</v>
      </c>
    </row>
    <row r="2" spans="1:5" x14ac:dyDescent="0.3">
      <c r="A2" s="7" t="s">
        <v>49</v>
      </c>
      <c r="B2" s="8">
        <v>17000</v>
      </c>
      <c r="C2" s="8">
        <v>15000</v>
      </c>
      <c r="D2" s="8">
        <v>22000</v>
      </c>
      <c r="E2" s="8">
        <f>D2+B2-C2</f>
        <v>24000</v>
      </c>
    </row>
    <row r="3" spans="1:5" x14ac:dyDescent="0.3">
      <c r="A3" s="7" t="s">
        <v>50</v>
      </c>
      <c r="B3" s="8">
        <v>18000</v>
      </c>
      <c r="C3" s="8">
        <v>16000</v>
      </c>
      <c r="D3" s="8">
        <v>19000</v>
      </c>
      <c r="E3" s="8">
        <f t="shared" ref="E3:E4" si="0">D3+B3-C3</f>
        <v>21000</v>
      </c>
    </row>
    <row r="4" spans="1:5" x14ac:dyDescent="0.3">
      <c r="A4" s="7" t="s">
        <v>51</v>
      </c>
      <c r="B4" s="8">
        <v>21000</v>
      </c>
      <c r="C4" s="8">
        <v>20000</v>
      </c>
      <c r="D4" s="8">
        <v>15000</v>
      </c>
      <c r="E4" s="8">
        <f t="shared" si="0"/>
        <v>16000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745B-F1EB-4E45-827E-E3CD3DB3DB3D}">
  <sheetPr codeName="Sheet20"/>
  <dimension ref="A1:E4"/>
  <sheetViews>
    <sheetView zoomScale="160" zoomScaleNormal="160" workbookViewId="0">
      <selection activeCell="H15" sqref="H15"/>
    </sheetView>
  </sheetViews>
  <sheetFormatPr defaultRowHeight="14.4" x14ac:dyDescent="0.3"/>
  <cols>
    <col min="2" max="5" width="11.6640625" bestFit="1" customWidth="1"/>
  </cols>
  <sheetData>
    <row r="1" spans="1:5" x14ac:dyDescent="0.3">
      <c r="A1" s="6" t="s">
        <v>45</v>
      </c>
      <c r="B1" s="6" t="s">
        <v>46</v>
      </c>
      <c r="C1" s="6" t="s">
        <v>47</v>
      </c>
      <c r="D1" s="6" t="s">
        <v>48</v>
      </c>
      <c r="E1" s="6" t="s">
        <v>10</v>
      </c>
    </row>
    <row r="2" spans="1:5" x14ac:dyDescent="0.3">
      <c r="A2" s="7" t="s">
        <v>49</v>
      </c>
      <c r="B2" s="8">
        <v>19000</v>
      </c>
      <c r="C2" s="8">
        <v>17000</v>
      </c>
      <c r="D2" s="8">
        <v>22000</v>
      </c>
      <c r="E2" s="8">
        <f>D2+B2-C2</f>
        <v>24000</v>
      </c>
    </row>
    <row r="3" spans="1:5" x14ac:dyDescent="0.3">
      <c r="A3" s="7" t="s">
        <v>50</v>
      </c>
      <c r="B3" s="8">
        <v>19000</v>
      </c>
      <c r="C3" s="8">
        <v>18000</v>
      </c>
      <c r="D3" s="8">
        <v>10000</v>
      </c>
      <c r="E3" s="8">
        <f t="shared" ref="E3:E4" si="0">D3+B3-C3</f>
        <v>11000</v>
      </c>
    </row>
    <row r="4" spans="1:5" x14ac:dyDescent="0.3">
      <c r="A4" s="7" t="s">
        <v>51</v>
      </c>
      <c r="B4" s="8">
        <v>24000</v>
      </c>
      <c r="C4" s="8">
        <v>21000</v>
      </c>
      <c r="D4" s="8">
        <v>15000</v>
      </c>
      <c r="E4" s="8">
        <f t="shared" si="0"/>
        <v>18000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97B3-44A3-4844-9EDB-79EC16DF4534}">
  <dimension ref="A1:E4"/>
  <sheetViews>
    <sheetView zoomScale="160" zoomScaleNormal="160" workbookViewId="0">
      <selection activeCell="E19" sqref="E19"/>
    </sheetView>
  </sheetViews>
  <sheetFormatPr defaultRowHeight="14.4" x14ac:dyDescent="0.3"/>
  <cols>
    <col min="2" max="4" width="11.6640625" bestFit="1" customWidth="1"/>
    <col min="5" max="5" width="12.44140625" bestFit="1" customWidth="1"/>
  </cols>
  <sheetData>
    <row r="1" spans="1:5" x14ac:dyDescent="0.3">
      <c r="A1" s="6" t="s">
        <v>45</v>
      </c>
      <c r="B1" s="6" t="s">
        <v>46</v>
      </c>
      <c r="C1" s="6" t="s">
        <v>47</v>
      </c>
      <c r="D1" s="6" t="s">
        <v>48</v>
      </c>
      <c r="E1" s="6" t="s">
        <v>10</v>
      </c>
    </row>
    <row r="2" spans="1:5" x14ac:dyDescent="0.3">
      <c r="A2" s="7" t="s">
        <v>49</v>
      </c>
      <c r="B2" s="39">
        <v>74000</v>
      </c>
      <c r="C2" s="39">
        <v>63000</v>
      </c>
      <c r="D2" s="39">
        <v>87000</v>
      </c>
      <c r="E2" s="8">
        <f>D2+B2-C2</f>
        <v>98000</v>
      </c>
    </row>
    <row r="3" spans="1:5" x14ac:dyDescent="0.3">
      <c r="A3" s="7" t="s">
        <v>50</v>
      </c>
      <c r="B3" s="39">
        <v>74000</v>
      </c>
      <c r="C3" s="39">
        <v>72000</v>
      </c>
      <c r="D3" s="39">
        <v>49000</v>
      </c>
      <c r="E3" s="8">
        <f t="shared" ref="E3:E4" si="0">D3+B3-C3</f>
        <v>51000</v>
      </c>
    </row>
    <row r="4" spans="1:5" x14ac:dyDescent="0.3">
      <c r="A4" s="7" t="s">
        <v>51</v>
      </c>
      <c r="B4" s="39">
        <v>90000</v>
      </c>
      <c r="C4" s="39">
        <v>83000</v>
      </c>
      <c r="D4" s="39">
        <v>60000</v>
      </c>
      <c r="E4" s="8">
        <f t="shared" si="0"/>
        <v>67000</v>
      </c>
    </row>
  </sheetData>
  <dataConsolidate>
    <dataRefs count="4">
      <dataRef ref="B2:D4" sheet="Q1"/>
      <dataRef ref="C6:E8" sheet="Q2"/>
      <dataRef ref="B2:D4" sheet="Q3"/>
      <dataRef ref="B2:D4" sheet="Q4"/>
    </dataRefs>
  </dataConsolid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DF508-F495-42A3-AFFD-345732D9217A}">
  <dimension ref="A1:E16"/>
  <sheetViews>
    <sheetView zoomScale="160" zoomScaleNormal="160" workbookViewId="0">
      <selection activeCell="B6" sqref="B6:D16"/>
    </sheetView>
  </sheetViews>
  <sheetFormatPr defaultRowHeight="14.4" outlineLevelRow="1" x14ac:dyDescent="0.3"/>
  <cols>
    <col min="2" max="4" width="11.6640625" bestFit="1" customWidth="1"/>
    <col min="5" max="5" width="12.44140625" bestFit="1" customWidth="1"/>
  </cols>
  <sheetData>
    <row r="1" spans="1:5" x14ac:dyDescent="0.3">
      <c r="A1" s="6" t="s">
        <v>45</v>
      </c>
      <c r="B1" s="6" t="s">
        <v>46</v>
      </c>
      <c r="C1" s="6" t="s">
        <v>47</v>
      </c>
      <c r="D1" s="6" t="s">
        <v>48</v>
      </c>
      <c r="E1" s="6" t="s">
        <v>10</v>
      </c>
    </row>
    <row r="2" spans="1:5" hidden="1" outlineLevel="1" x14ac:dyDescent="0.3">
      <c r="A2" s="6"/>
      <c r="B2" s="40">
        <f>'Q1'!$B$2</f>
        <v>20000</v>
      </c>
      <c r="C2" s="40">
        <f>'Q1'!$C$2</f>
        <v>15000</v>
      </c>
      <c r="D2" s="40">
        <f>'Q1'!$D$2</f>
        <v>22000</v>
      </c>
      <c r="E2" s="6"/>
    </row>
    <row r="3" spans="1:5" hidden="1" outlineLevel="1" collapsed="1" x14ac:dyDescent="0.3">
      <c r="A3" s="6"/>
      <c r="B3" s="40">
        <f>'Q2'!$C$6</f>
        <v>18000</v>
      </c>
      <c r="C3" s="40">
        <f>'Q2'!$D$6</f>
        <v>16000</v>
      </c>
      <c r="D3" s="40">
        <f>'Q2'!$E$6</f>
        <v>21000</v>
      </c>
      <c r="E3" s="6"/>
    </row>
    <row r="4" spans="1:5" hidden="1" outlineLevel="1" collapsed="1" x14ac:dyDescent="0.3">
      <c r="A4" s="6"/>
      <c r="B4" s="40">
        <f>'Q3'!$B$2</f>
        <v>17000</v>
      </c>
      <c r="C4" s="40">
        <f>'Q3'!$C$2</f>
        <v>15000</v>
      </c>
      <c r="D4" s="40">
        <f>'Q3'!$D$2</f>
        <v>22000</v>
      </c>
      <c r="E4" s="6"/>
    </row>
    <row r="5" spans="1:5" hidden="1" outlineLevel="1" collapsed="1" x14ac:dyDescent="0.3">
      <c r="A5" s="6"/>
      <c r="B5" s="40">
        <f>'Q4'!$B$2</f>
        <v>19000</v>
      </c>
      <c r="C5" s="40">
        <f>'Q4'!$C$2</f>
        <v>17000</v>
      </c>
      <c r="D5" s="40">
        <f>'Q4'!$D$2</f>
        <v>22000</v>
      </c>
      <c r="E5" s="6"/>
    </row>
    <row r="6" spans="1:5" collapsed="1" x14ac:dyDescent="0.3">
      <c r="A6" s="7" t="s">
        <v>49</v>
      </c>
      <c r="B6" s="39">
        <f>SUM(B2:B5)</f>
        <v>74000</v>
      </c>
      <c r="C6" s="39">
        <f>SUM(C2:C5)</f>
        <v>63000</v>
      </c>
      <c r="D6" s="39">
        <f>SUM(D2:D5)</f>
        <v>87000</v>
      </c>
      <c r="E6" s="8">
        <f>D6+B6-C6</f>
        <v>98000</v>
      </c>
    </row>
    <row r="7" spans="1:5" hidden="1" outlineLevel="1" x14ac:dyDescent="0.3">
      <c r="A7" s="7"/>
      <c r="B7" s="39">
        <f>'Q1'!$B$3</f>
        <v>18000</v>
      </c>
      <c r="C7" s="39">
        <f>'Q1'!$C$3</f>
        <v>19000</v>
      </c>
      <c r="D7" s="39">
        <f>'Q1'!$D$3</f>
        <v>10000</v>
      </c>
      <c r="E7" s="8"/>
    </row>
    <row r="8" spans="1:5" hidden="1" outlineLevel="1" collapsed="1" x14ac:dyDescent="0.3">
      <c r="A8" s="7"/>
      <c r="B8" s="39">
        <f>'Q2'!$C$7</f>
        <v>19000</v>
      </c>
      <c r="C8" s="39">
        <f>'Q2'!$D$7</f>
        <v>19000</v>
      </c>
      <c r="D8" s="39">
        <f>'Q2'!$E$7</f>
        <v>10000</v>
      </c>
      <c r="E8" s="8"/>
    </row>
    <row r="9" spans="1:5" hidden="1" outlineLevel="1" collapsed="1" x14ac:dyDescent="0.3">
      <c r="A9" s="7"/>
      <c r="B9" s="39">
        <f>'Q3'!$B$3</f>
        <v>18000</v>
      </c>
      <c r="C9" s="39">
        <f>'Q3'!$C$3</f>
        <v>16000</v>
      </c>
      <c r="D9" s="39">
        <f>'Q3'!$D$3</f>
        <v>19000</v>
      </c>
      <c r="E9" s="8"/>
    </row>
    <row r="10" spans="1:5" hidden="1" outlineLevel="1" collapsed="1" x14ac:dyDescent="0.3">
      <c r="A10" s="7"/>
      <c r="B10" s="39">
        <f>'Q4'!$B$3</f>
        <v>19000</v>
      </c>
      <c r="C10" s="39">
        <f>'Q4'!$C$3</f>
        <v>18000</v>
      </c>
      <c r="D10" s="39">
        <f>'Q4'!$D$3</f>
        <v>10000</v>
      </c>
      <c r="E10" s="8"/>
    </row>
    <row r="11" spans="1:5" collapsed="1" x14ac:dyDescent="0.3">
      <c r="A11" s="7" t="s">
        <v>50</v>
      </c>
      <c r="B11" s="39">
        <f>SUM(B7:B10)</f>
        <v>74000</v>
      </c>
      <c r="C11" s="39">
        <f>SUM(C7:C10)</f>
        <v>72000</v>
      </c>
      <c r="D11" s="39">
        <f>SUM(D7:D10)</f>
        <v>49000</v>
      </c>
      <c r="E11" s="8">
        <f t="shared" ref="E11:E16" si="0">D11+B11-C11</f>
        <v>51000</v>
      </c>
    </row>
    <row r="12" spans="1:5" hidden="1" outlineLevel="1" x14ac:dyDescent="0.3">
      <c r="A12" s="7"/>
      <c r="B12" s="39">
        <f>'Q1'!$B$4</f>
        <v>23000</v>
      </c>
      <c r="C12" s="39">
        <f>'Q1'!$C$4</f>
        <v>21000</v>
      </c>
      <c r="D12" s="39">
        <f>'Q1'!$D$4</f>
        <v>15000</v>
      </c>
      <c r="E12" s="8"/>
    </row>
    <row r="13" spans="1:5" hidden="1" outlineLevel="1" collapsed="1" x14ac:dyDescent="0.3">
      <c r="A13" s="7"/>
      <c r="B13" s="39">
        <f>'Q2'!$C$8</f>
        <v>22000</v>
      </c>
      <c r="C13" s="39">
        <f>'Q2'!$D$8</f>
        <v>21000</v>
      </c>
      <c r="D13" s="39">
        <f>'Q2'!$E$8</f>
        <v>15000</v>
      </c>
      <c r="E13" s="8"/>
    </row>
    <row r="14" spans="1:5" hidden="1" outlineLevel="1" collapsed="1" x14ac:dyDescent="0.3">
      <c r="A14" s="7"/>
      <c r="B14" s="39">
        <f>'Q3'!$B$4</f>
        <v>21000</v>
      </c>
      <c r="C14" s="39">
        <f>'Q3'!$C$4</f>
        <v>20000</v>
      </c>
      <c r="D14" s="39">
        <f>'Q3'!$D$4</f>
        <v>15000</v>
      </c>
      <c r="E14" s="8"/>
    </row>
    <row r="15" spans="1:5" hidden="1" outlineLevel="1" collapsed="1" x14ac:dyDescent="0.3">
      <c r="A15" s="7"/>
      <c r="B15" s="39">
        <f>'Q4'!$B$4</f>
        <v>24000</v>
      </c>
      <c r="C15" s="39">
        <f>'Q4'!$C$4</f>
        <v>21000</v>
      </c>
      <c r="D15" s="39">
        <f>'Q4'!$D$4</f>
        <v>15000</v>
      </c>
      <c r="E15" s="8"/>
    </row>
    <row r="16" spans="1:5" collapsed="1" x14ac:dyDescent="0.3">
      <c r="A16" s="7" t="s">
        <v>51</v>
      </c>
      <c r="B16" s="39">
        <f>SUM(B12:B15)</f>
        <v>90000</v>
      </c>
      <c r="C16" s="39">
        <f>SUM(C12:C15)</f>
        <v>83000</v>
      </c>
      <c r="D16" s="39">
        <f>SUM(D12:D15)</f>
        <v>60000</v>
      </c>
      <c r="E16" s="8">
        <f t="shared" si="0"/>
        <v>67000</v>
      </c>
    </row>
  </sheetData>
  <dataConsolidate link="1">
    <dataRefs count="4">
      <dataRef ref="B2:D4" sheet="Q1"/>
      <dataRef ref="C6:E8" sheet="Q2"/>
      <dataRef ref="B2:D4" sheet="Q3"/>
      <dataRef ref="B2:D4" sheet="Q4"/>
    </dataRefs>
  </dataConsolid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B6E0-5628-4CF7-A203-EACCDF82D986}">
  <sheetPr codeName="Sheet21"/>
  <dimension ref="A1:C4"/>
  <sheetViews>
    <sheetView zoomScale="205" zoomScaleNormal="205" workbookViewId="0">
      <selection activeCell="E3" sqref="E3"/>
    </sheetView>
  </sheetViews>
  <sheetFormatPr defaultRowHeight="14.4" x14ac:dyDescent="0.3"/>
  <cols>
    <col min="1" max="1" width="18.6640625" customWidth="1"/>
    <col min="2" max="2" width="11.88671875" customWidth="1"/>
    <col min="3" max="3" width="10.6640625" bestFit="1" customWidth="1"/>
  </cols>
  <sheetData>
    <row r="1" spans="1:3" x14ac:dyDescent="0.3">
      <c r="B1" s="30" t="s">
        <v>52</v>
      </c>
      <c r="C1" s="30"/>
    </row>
    <row r="2" spans="1:3" ht="31.5" customHeight="1" x14ac:dyDescent="0.3">
      <c r="A2" s="9" t="s">
        <v>138</v>
      </c>
      <c r="B2" s="5" t="s">
        <v>139</v>
      </c>
      <c r="C2" s="5" t="s">
        <v>140</v>
      </c>
    </row>
    <row r="3" spans="1:3" x14ac:dyDescent="0.3">
      <c r="A3" s="5" t="s">
        <v>5</v>
      </c>
      <c r="B3" s="5">
        <v>10</v>
      </c>
      <c r="C3" s="5"/>
    </row>
    <row r="4" spans="1:3" x14ac:dyDescent="0.3">
      <c r="A4" s="5" t="s">
        <v>6</v>
      </c>
      <c r="B4" s="5">
        <v>5</v>
      </c>
      <c r="C4" s="5">
        <v>5</v>
      </c>
    </row>
  </sheetData>
  <mergeCells count="1">
    <mergeCell ref="B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89E1-B241-4BC7-A74D-49659F191B47}">
  <sheetPr codeName="Sheet22"/>
  <dimension ref="A1:C5"/>
  <sheetViews>
    <sheetView zoomScale="205" zoomScaleNormal="205" workbookViewId="0">
      <selection activeCell="E3" sqref="E3"/>
    </sheetView>
  </sheetViews>
  <sheetFormatPr defaultRowHeight="14.4" x14ac:dyDescent="0.3"/>
  <cols>
    <col min="1" max="1" width="18.6640625" customWidth="1"/>
    <col min="2" max="2" width="11.88671875" customWidth="1"/>
  </cols>
  <sheetData>
    <row r="1" spans="1:3" x14ac:dyDescent="0.3">
      <c r="B1" s="30" t="s">
        <v>52</v>
      </c>
      <c r="C1" s="30"/>
    </row>
    <row r="2" spans="1:3" ht="31.5" customHeight="1" x14ac:dyDescent="0.3">
      <c r="A2" s="9" t="s">
        <v>138</v>
      </c>
      <c r="B2" s="5" t="s">
        <v>139</v>
      </c>
      <c r="C2" s="5" t="s">
        <v>141</v>
      </c>
    </row>
    <row r="3" spans="1:3" x14ac:dyDescent="0.3">
      <c r="A3" s="5" t="s">
        <v>7</v>
      </c>
      <c r="B3" s="5">
        <v>3</v>
      </c>
      <c r="C3" s="5">
        <v>1</v>
      </c>
    </row>
    <row r="4" spans="1:3" x14ac:dyDescent="0.3">
      <c r="A4" s="5" t="s">
        <v>6</v>
      </c>
      <c r="B4" s="5">
        <v>3</v>
      </c>
      <c r="C4" s="5"/>
    </row>
    <row r="5" spans="1:3" x14ac:dyDescent="0.3">
      <c r="A5" s="5" t="s">
        <v>53</v>
      </c>
      <c r="B5" s="5">
        <v>2</v>
      </c>
      <c r="C5" s="5">
        <v>2</v>
      </c>
    </row>
  </sheetData>
  <mergeCells count="1">
    <mergeCell ref="B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F19D-575F-438B-ADDB-9E2D5411F9D4}">
  <sheetPr codeName="Sheet23"/>
  <dimension ref="A1:D4"/>
  <sheetViews>
    <sheetView zoomScale="205" zoomScaleNormal="205" workbookViewId="0">
      <selection activeCell="H5" sqref="H5"/>
    </sheetView>
  </sheetViews>
  <sheetFormatPr defaultRowHeight="14.4" x14ac:dyDescent="0.3"/>
  <cols>
    <col min="1" max="1" width="18.6640625" customWidth="1"/>
    <col min="2" max="2" width="11.88671875" customWidth="1"/>
  </cols>
  <sheetData>
    <row r="1" spans="1:4" x14ac:dyDescent="0.3">
      <c r="B1" s="31" t="s">
        <v>52</v>
      </c>
      <c r="C1" s="31"/>
      <c r="D1" s="31"/>
    </row>
    <row r="2" spans="1:4" ht="31.5" customHeight="1" x14ac:dyDescent="0.3">
      <c r="A2" s="9" t="s">
        <v>138</v>
      </c>
      <c r="B2" s="5" t="s">
        <v>140</v>
      </c>
      <c r="C2" s="5" t="s">
        <v>141</v>
      </c>
      <c r="D2" s="5" t="s">
        <v>142</v>
      </c>
    </row>
    <row r="3" spans="1:4" x14ac:dyDescent="0.3">
      <c r="A3" s="5" t="s">
        <v>6</v>
      </c>
      <c r="B3" s="5">
        <v>4</v>
      </c>
      <c r="C3" s="5">
        <v>4</v>
      </c>
      <c r="D3" s="5">
        <v>2</v>
      </c>
    </row>
    <row r="4" spans="1:4" x14ac:dyDescent="0.3">
      <c r="A4" s="5" t="s">
        <v>54</v>
      </c>
      <c r="B4" s="5">
        <v>3</v>
      </c>
      <c r="C4" s="5">
        <v>3</v>
      </c>
      <c r="D4" s="5">
        <v>2</v>
      </c>
    </row>
  </sheetData>
  <mergeCells count="1">
    <mergeCell ref="B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1D65-2D32-4C6C-B43C-88187BE6F62E}">
  <dimension ref="A1:E6"/>
  <sheetViews>
    <sheetView zoomScale="205" zoomScaleNormal="205" workbookViewId="0">
      <selection activeCell="F10" sqref="F10"/>
    </sheetView>
  </sheetViews>
  <sheetFormatPr defaultRowHeight="14.4" x14ac:dyDescent="0.3"/>
  <cols>
    <col min="1" max="2" width="18.6640625" customWidth="1"/>
    <col min="3" max="3" width="11.88671875" customWidth="1"/>
    <col min="4" max="4" width="12.21875" bestFit="1" customWidth="1"/>
  </cols>
  <sheetData>
    <row r="1" spans="1:5" x14ac:dyDescent="0.3">
      <c r="B1" s="31" t="s">
        <v>52</v>
      </c>
      <c r="C1" s="31"/>
      <c r="D1" s="31"/>
      <c r="E1" s="31"/>
    </row>
    <row r="2" spans="1:5" ht="31.5" customHeight="1" x14ac:dyDescent="0.3">
      <c r="A2" s="9" t="s">
        <v>138</v>
      </c>
      <c r="B2" s="41" t="s">
        <v>139</v>
      </c>
      <c r="C2" s="5" t="s">
        <v>140</v>
      </c>
      <c r="D2" s="5" t="s">
        <v>143</v>
      </c>
      <c r="E2" s="5" t="s">
        <v>142</v>
      </c>
    </row>
    <row r="3" spans="1:5" x14ac:dyDescent="0.3">
      <c r="A3" s="5" t="s">
        <v>6</v>
      </c>
      <c r="B3" s="5">
        <v>8</v>
      </c>
      <c r="C3" s="5">
        <v>9</v>
      </c>
      <c r="D3" s="5"/>
      <c r="E3" s="5">
        <v>2</v>
      </c>
    </row>
    <row r="4" spans="1:5" x14ac:dyDescent="0.3">
      <c r="A4" s="5" t="s">
        <v>5</v>
      </c>
      <c r="B4" s="5">
        <v>10</v>
      </c>
      <c r="C4" s="5"/>
      <c r="D4" s="5"/>
      <c r="E4" s="5"/>
    </row>
    <row r="5" spans="1:5" x14ac:dyDescent="0.3">
      <c r="A5" s="5" t="s">
        <v>119</v>
      </c>
      <c r="B5" s="5"/>
      <c r="C5" s="5"/>
      <c r="D5" s="5"/>
      <c r="E5" s="5"/>
    </row>
    <row r="6" spans="1:5" x14ac:dyDescent="0.3">
      <c r="A6" s="5" t="s">
        <v>54</v>
      </c>
      <c r="B6" s="5"/>
      <c r="C6" s="5">
        <v>3</v>
      </c>
      <c r="D6" s="5"/>
      <c r="E6" s="5">
        <v>2</v>
      </c>
    </row>
  </sheetData>
  <dataConsolidate leftLabels="1" topLabels="1">
    <dataRefs count="3">
      <dataRef ref="A2:C5" sheet="Feb"/>
      <dataRef ref="A2:C4" sheet="Jan"/>
      <dataRef ref="A2:D4" sheet="Mar"/>
    </dataRefs>
  </dataConsolidate>
  <mergeCells count="1">
    <mergeCell ref="B1: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31F2-2BE9-4577-998E-1292155FC424}">
  <dimension ref="A1:F11"/>
  <sheetViews>
    <sheetView zoomScale="205" zoomScaleNormal="205" workbookViewId="0">
      <selection activeCell="G17" sqref="G17"/>
    </sheetView>
  </sheetViews>
  <sheetFormatPr defaultRowHeight="14.4" outlineLevelRow="1" x14ac:dyDescent="0.3"/>
  <cols>
    <col min="1" max="1" width="14.6640625" bestFit="1" customWidth="1"/>
    <col min="2" max="2" width="16.44140625" hidden="1" customWidth="1"/>
    <col min="3" max="3" width="18.6640625" customWidth="1"/>
    <col min="4" max="4" width="11.88671875" customWidth="1"/>
    <col min="5" max="5" width="12.21875" bestFit="1" customWidth="1"/>
  </cols>
  <sheetData>
    <row r="1" spans="1:6" x14ac:dyDescent="0.3">
      <c r="C1" s="31" t="s">
        <v>52</v>
      </c>
      <c r="D1" s="31"/>
      <c r="E1" s="31"/>
      <c r="F1" s="31"/>
    </row>
    <row r="2" spans="1:6" ht="31.5" customHeight="1" x14ac:dyDescent="0.3">
      <c r="A2" s="9" t="s">
        <v>138</v>
      </c>
      <c r="B2" s="41"/>
      <c r="C2" s="41" t="s">
        <v>139</v>
      </c>
      <c r="D2" s="5" t="s">
        <v>140</v>
      </c>
      <c r="E2" s="5" t="s">
        <v>143</v>
      </c>
      <c r="F2" s="5" t="s">
        <v>142</v>
      </c>
    </row>
    <row r="3" spans="1:6" ht="31.5" hidden="1" customHeight="1" outlineLevel="1" x14ac:dyDescent="0.3">
      <c r="A3" s="41"/>
      <c r="B3" s="41" t="s">
        <v>144</v>
      </c>
      <c r="C3" s="41">
        <f>Feb!$B$4</f>
        <v>3</v>
      </c>
      <c r="D3" s="5"/>
      <c r="E3" s="5"/>
      <c r="F3" s="5"/>
    </row>
    <row r="4" spans="1:6" ht="31.5" hidden="1" customHeight="1" outlineLevel="1" collapsed="1" x14ac:dyDescent="0.3">
      <c r="A4" s="41"/>
      <c r="B4" s="41" t="s">
        <v>144</v>
      </c>
      <c r="C4" s="41">
        <f>Jan!$B$4</f>
        <v>5</v>
      </c>
      <c r="D4" s="5">
        <f>Jan!$C$4</f>
        <v>5</v>
      </c>
      <c r="E4" s="5"/>
      <c r="F4" s="5"/>
    </row>
    <row r="5" spans="1:6" ht="31.5" hidden="1" customHeight="1" outlineLevel="1" collapsed="1" x14ac:dyDescent="0.3">
      <c r="A5" s="41"/>
      <c r="B5" s="41" t="s">
        <v>144</v>
      </c>
      <c r="C5" s="41"/>
      <c r="D5" s="5">
        <f>Mar!$B$3</f>
        <v>4</v>
      </c>
      <c r="E5" s="5"/>
      <c r="F5" s="5">
        <f>Mar!$D$3</f>
        <v>2</v>
      </c>
    </row>
    <row r="6" spans="1:6" collapsed="1" x14ac:dyDescent="0.3">
      <c r="A6" s="5" t="s">
        <v>6</v>
      </c>
      <c r="B6" s="5"/>
      <c r="C6" s="5">
        <f>SUM(C3:C5)</f>
        <v>8</v>
      </c>
      <c r="D6" s="5">
        <f>SUM(D3:D5)</f>
        <v>9</v>
      </c>
      <c r="E6" s="5"/>
      <c r="F6" s="5">
        <f>SUM(F3:F5)</f>
        <v>2</v>
      </c>
    </row>
    <row r="7" spans="1:6" hidden="1" outlineLevel="1" x14ac:dyDescent="0.3">
      <c r="A7" s="5"/>
      <c r="B7" s="5" t="s">
        <v>144</v>
      </c>
      <c r="C7" s="5">
        <f>Jan!$B$3</f>
        <v>10</v>
      </c>
      <c r="D7" s="5"/>
      <c r="E7" s="5"/>
      <c r="F7" s="5"/>
    </row>
    <row r="8" spans="1:6" collapsed="1" x14ac:dyDescent="0.3">
      <c r="A8" s="5" t="s">
        <v>5</v>
      </c>
      <c r="B8" s="5"/>
      <c r="C8" s="5">
        <f>SUM(C7)</f>
        <v>10</v>
      </c>
      <c r="D8" s="5"/>
      <c r="E8" s="5"/>
      <c r="F8" s="5"/>
    </row>
    <row r="9" spans="1:6" x14ac:dyDescent="0.3">
      <c r="A9" s="5" t="s">
        <v>119</v>
      </c>
      <c r="B9" s="5"/>
      <c r="C9" s="5"/>
      <c r="D9" s="5"/>
      <c r="E9" s="5"/>
      <c r="F9" s="5"/>
    </row>
    <row r="10" spans="1:6" hidden="1" outlineLevel="1" x14ac:dyDescent="0.3">
      <c r="A10" s="5"/>
      <c r="B10" s="5" t="s">
        <v>144</v>
      </c>
      <c r="C10" s="5"/>
      <c r="D10" s="5">
        <f>Mar!$B$4</f>
        <v>3</v>
      </c>
      <c r="E10" s="5"/>
      <c r="F10" s="5">
        <f>Mar!$D$4</f>
        <v>2</v>
      </c>
    </row>
    <row r="11" spans="1:6" collapsed="1" x14ac:dyDescent="0.3">
      <c r="A11" s="5" t="s">
        <v>54</v>
      </c>
      <c r="B11" s="5"/>
      <c r="C11" s="5"/>
      <c r="D11" s="5">
        <f>SUM(D10)</f>
        <v>3</v>
      </c>
      <c r="E11" s="5"/>
      <c r="F11" s="5">
        <f>SUM(F10)</f>
        <v>2</v>
      </c>
    </row>
  </sheetData>
  <dataConsolidate leftLabels="1" topLabels="1" link="1">
    <dataRefs count="3">
      <dataRef ref="A2:C5" sheet="Feb"/>
      <dataRef ref="A2:C4" sheet="Jan"/>
      <dataRef ref="A2:D4" sheet="Mar"/>
    </dataRefs>
  </dataConsolidate>
  <mergeCells count="1">
    <mergeCell ref="C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58EE-A079-4456-BAD0-97C5149337DF}">
  <sheetPr>
    <outlinePr summaryBelow="0"/>
  </sheetPr>
  <dimension ref="B1:G13"/>
  <sheetViews>
    <sheetView showGridLines="0" workbookViewId="0"/>
  </sheetViews>
  <sheetFormatPr defaultRowHeight="14.4" outlineLevelRow="1" outlineLevelCol="1" x14ac:dyDescent="0.3"/>
  <cols>
    <col min="3" max="3" width="12" bestFit="1" customWidth="1"/>
    <col min="4" max="7" width="16.6640625" bestFit="1" customWidth="1" outlineLevel="1"/>
  </cols>
  <sheetData>
    <row r="1" spans="2:7" ht="15" thickBot="1" x14ac:dyDescent="0.35"/>
    <row r="2" spans="2:7" ht="15.6" x14ac:dyDescent="0.3">
      <c r="B2" s="47" t="s">
        <v>153</v>
      </c>
      <c r="C2" s="47"/>
      <c r="D2" s="52"/>
      <c r="E2" s="52"/>
      <c r="F2" s="52"/>
      <c r="G2" s="52"/>
    </row>
    <row r="3" spans="2:7" ht="15.6" collapsed="1" x14ac:dyDescent="0.3">
      <c r="B3" s="46"/>
      <c r="C3" s="46"/>
      <c r="D3" s="53" t="s">
        <v>155</v>
      </c>
      <c r="E3" s="53" t="s">
        <v>149</v>
      </c>
      <c r="F3" s="53" t="s">
        <v>151</v>
      </c>
      <c r="G3" s="53" t="s">
        <v>152</v>
      </c>
    </row>
    <row r="4" spans="2:7" ht="20.399999999999999" hidden="1" outlineLevel="1" x14ac:dyDescent="0.3">
      <c r="B4" s="49"/>
      <c r="C4" s="49"/>
      <c r="D4" s="42"/>
      <c r="E4" s="57" t="s">
        <v>150</v>
      </c>
      <c r="F4" s="57" t="s">
        <v>150</v>
      </c>
      <c r="G4" s="57" t="s">
        <v>150</v>
      </c>
    </row>
    <row r="5" spans="2:7" x14ac:dyDescent="0.3">
      <c r="B5" s="50" t="s">
        <v>154</v>
      </c>
      <c r="C5" s="50"/>
      <c r="D5" s="48"/>
      <c r="E5" s="48"/>
      <c r="F5" s="48"/>
      <c r="G5" s="48"/>
    </row>
    <row r="6" spans="2:7" outlineLevel="1" x14ac:dyDescent="0.3">
      <c r="B6" s="49"/>
      <c r="C6" s="49" t="s">
        <v>145</v>
      </c>
      <c r="D6" s="43">
        <v>1000000</v>
      </c>
      <c r="E6" s="54">
        <v>1000000</v>
      </c>
      <c r="F6" s="54">
        <v>1000000</v>
      </c>
      <c r="G6" s="54">
        <v>1667916.1439233499</v>
      </c>
    </row>
    <row r="7" spans="2:7" outlineLevel="1" x14ac:dyDescent="0.3">
      <c r="B7" s="49"/>
      <c r="C7" s="49" t="s">
        <v>146</v>
      </c>
      <c r="D7" s="44">
        <v>0.06</v>
      </c>
      <c r="E7" s="55">
        <v>0.06</v>
      </c>
      <c r="F7" s="55">
        <v>0.06</v>
      </c>
      <c r="G7" s="55">
        <v>0.06</v>
      </c>
    </row>
    <row r="8" spans="2:7" outlineLevel="1" x14ac:dyDescent="0.3">
      <c r="B8" s="49"/>
      <c r="C8" s="49" t="s">
        <v>147</v>
      </c>
      <c r="D8" s="42">
        <v>360</v>
      </c>
      <c r="E8" s="56">
        <v>360</v>
      </c>
      <c r="F8" s="56">
        <v>138.97572090746701</v>
      </c>
      <c r="G8" s="56">
        <v>360</v>
      </c>
    </row>
    <row r="9" spans="2:7" x14ac:dyDescent="0.3">
      <c r="B9" s="50" t="s">
        <v>156</v>
      </c>
      <c r="C9" s="50"/>
      <c r="D9" s="48"/>
      <c r="E9" s="48"/>
      <c r="F9" s="48"/>
      <c r="G9" s="48"/>
    </row>
    <row r="10" spans="2:7" ht="15" outlineLevel="1" thickBot="1" x14ac:dyDescent="0.35">
      <c r="B10" s="51"/>
      <c r="C10" s="51" t="s">
        <v>148</v>
      </c>
      <c r="D10" s="45">
        <v>5995.5052515275202</v>
      </c>
      <c r="E10" s="45">
        <v>5995.5052515275202</v>
      </c>
      <c r="F10" s="45">
        <v>10000.000035073699</v>
      </c>
      <c r="G10" s="45">
        <v>9999.99999999998</v>
      </c>
    </row>
    <row r="11" spans="2:7" x14ac:dyDescent="0.3">
      <c r="B11" t="s">
        <v>157</v>
      </c>
    </row>
    <row r="12" spans="2:7" x14ac:dyDescent="0.3">
      <c r="B12" t="s">
        <v>158</v>
      </c>
    </row>
    <row r="13" spans="2:7" x14ac:dyDescent="0.3">
      <c r="B13" t="s">
        <v>159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36BCA-288D-4C26-9D40-E19F73EA6BD5}">
  <dimension ref="C3:G6"/>
  <sheetViews>
    <sheetView zoomScale="175" zoomScaleNormal="175" workbookViewId="0">
      <selection activeCell="I7" sqref="I7"/>
    </sheetView>
  </sheetViews>
  <sheetFormatPr defaultRowHeight="14.4" x14ac:dyDescent="0.3"/>
  <cols>
    <col min="1" max="1" width="4.109375" customWidth="1"/>
    <col min="2" max="2" width="3.33203125" customWidth="1"/>
    <col min="3" max="3" width="13.44140625" bestFit="1" customWidth="1"/>
    <col min="4" max="4" width="17.88671875" customWidth="1"/>
    <col min="5" max="5" width="1.5546875" customWidth="1"/>
  </cols>
  <sheetData>
    <row r="3" spans="3:7" x14ac:dyDescent="0.3">
      <c r="C3" s="27" t="s">
        <v>97</v>
      </c>
      <c r="D3" s="1">
        <v>1000000</v>
      </c>
    </row>
    <row r="4" spans="3:7" x14ac:dyDescent="0.3">
      <c r="C4" s="27" t="s">
        <v>0</v>
      </c>
      <c r="D4" s="2">
        <v>0.06</v>
      </c>
    </row>
    <row r="5" spans="3:7" x14ac:dyDescent="0.3">
      <c r="C5" s="27" t="s">
        <v>98</v>
      </c>
      <c r="D5">
        <v>360</v>
      </c>
      <c r="F5">
        <f>Terms/12</f>
        <v>30</v>
      </c>
      <c r="G5" t="s">
        <v>100</v>
      </c>
    </row>
    <row r="6" spans="3:7" x14ac:dyDescent="0.3">
      <c r="C6" s="27" t="s">
        <v>99</v>
      </c>
      <c r="D6" s="28">
        <f>PMT(Rate/12,Terms,-LoanAmount)</f>
        <v>5995.5052515275229</v>
      </c>
    </row>
  </sheetData>
  <scenarios current="0" show="0" sqref="D6">
    <scenario name="Base" locked="1" count="3" user="user" comment="Created by user on 7/17/2025">
      <inputCells r="D3" val="1000000" numFmtId="44"/>
      <inputCells r="D4" val="0.06" numFmtId="9"/>
      <inputCells r="D5" val="360"/>
    </scenario>
    <scenario name="Shortest Settlement" locked="1" count="3" user="user" comment="Created by user on 7/17/2025">
      <inputCells r="D3" val="1000000" numFmtId="44"/>
      <inputCells r="D4" val="0.06" numFmtId="9"/>
      <inputCells r="D5" val="138.975720907467"/>
    </scenario>
    <scenario name="Max Loan" locked="1" count="3" user="user" comment="Created by user on 7/17/2025">
      <inputCells r="D3" val="1667916.14392335" numFmtId="44"/>
      <inputCells r="D4" val="0.06" numFmtId="9"/>
      <inputCells r="D5" val="360"/>
    </scenario>
  </scenario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8773-D3AF-45D0-A7D8-1A18DCD0F09C}">
  <sheetPr codeName="Sheet31"/>
  <dimension ref="A3:H19"/>
  <sheetViews>
    <sheetView zoomScale="175" zoomScaleNormal="175" workbookViewId="0">
      <selection activeCell="E4" sqref="E4"/>
    </sheetView>
  </sheetViews>
  <sheetFormatPr defaultRowHeight="14.4" x14ac:dyDescent="0.3"/>
  <cols>
    <col min="2" max="2" width="17.44140625" bestFit="1" customWidth="1"/>
    <col min="3" max="3" width="12.33203125" bestFit="1" customWidth="1"/>
    <col min="4" max="4" width="3.33203125" customWidth="1"/>
    <col min="5" max="5" width="19.88671875" customWidth="1"/>
    <col min="6" max="6" width="12.44140625" bestFit="1" customWidth="1"/>
    <col min="7" max="7" width="14.33203125" bestFit="1" customWidth="1"/>
    <col min="8" max="8" width="10.88671875" bestFit="1" customWidth="1"/>
  </cols>
  <sheetData>
    <row r="3" spans="1:8" x14ac:dyDescent="0.3">
      <c r="A3" s="10" t="s">
        <v>55</v>
      </c>
      <c r="B3" s="11" t="s">
        <v>56</v>
      </c>
      <c r="C3">
        <v>8</v>
      </c>
      <c r="E3" t="s">
        <v>57</v>
      </c>
      <c r="F3" t="s">
        <v>58</v>
      </c>
      <c r="G3" t="s">
        <v>59</v>
      </c>
      <c r="H3" t="s">
        <v>60</v>
      </c>
    </row>
    <row r="4" spans="1:8" x14ac:dyDescent="0.3">
      <c r="B4" s="11" t="s">
        <v>61</v>
      </c>
      <c r="C4" s="1">
        <v>3250</v>
      </c>
      <c r="F4">
        <f>TotalIncome</f>
        <v>26000</v>
      </c>
      <c r="G4">
        <f>TotalExpensus</f>
        <v>24500</v>
      </c>
      <c r="H4">
        <f>Profit</f>
        <v>1500</v>
      </c>
    </row>
    <row r="5" spans="1:8" x14ac:dyDescent="0.3">
      <c r="B5" s="11" t="s">
        <v>58</v>
      </c>
      <c r="C5" s="12">
        <f>NumberOfClients*FeePerClient</f>
        <v>26000</v>
      </c>
      <c r="E5">
        <v>6</v>
      </c>
      <c r="F5">
        <f t="dataTable" ref="F5:H19" dt2D="0" dtr="0" r1="C3"/>
        <v>19500</v>
      </c>
      <c r="G5">
        <v>24300</v>
      </c>
      <c r="H5">
        <v>-4800</v>
      </c>
    </row>
    <row r="6" spans="1:8" x14ac:dyDescent="0.3">
      <c r="E6">
        <v>7</v>
      </c>
      <c r="F6">
        <v>22750</v>
      </c>
      <c r="G6">
        <v>24400</v>
      </c>
      <c r="H6">
        <v>-1650</v>
      </c>
    </row>
    <row r="7" spans="1:8" x14ac:dyDescent="0.3">
      <c r="A7" s="13" t="s">
        <v>47</v>
      </c>
      <c r="B7" s="14" t="s">
        <v>62</v>
      </c>
      <c r="C7" s="15">
        <v>1500</v>
      </c>
      <c r="E7">
        <v>8</v>
      </c>
      <c r="F7">
        <v>26000</v>
      </c>
      <c r="G7">
        <v>24500</v>
      </c>
      <c r="H7">
        <v>1500</v>
      </c>
    </row>
    <row r="8" spans="1:8" x14ac:dyDescent="0.3">
      <c r="B8" s="14" t="s">
        <v>63</v>
      </c>
      <c r="C8" s="15">
        <v>700</v>
      </c>
      <c r="E8">
        <v>9</v>
      </c>
      <c r="F8">
        <v>29250</v>
      </c>
      <c r="G8">
        <v>24600</v>
      </c>
      <c r="H8">
        <v>4650</v>
      </c>
    </row>
    <row r="9" spans="1:8" x14ac:dyDescent="0.3">
      <c r="B9" s="14" t="s">
        <v>64</v>
      </c>
      <c r="C9" s="15">
        <v>20000</v>
      </c>
      <c r="E9">
        <v>10</v>
      </c>
      <c r="F9">
        <v>32500</v>
      </c>
      <c r="G9">
        <v>24700</v>
      </c>
      <c r="H9">
        <v>7800</v>
      </c>
    </row>
    <row r="10" spans="1:8" x14ac:dyDescent="0.3">
      <c r="B10" s="14" t="s">
        <v>65</v>
      </c>
      <c r="C10" s="15">
        <v>100</v>
      </c>
      <c r="E10">
        <v>11</v>
      </c>
      <c r="F10">
        <v>35750</v>
      </c>
      <c r="G10">
        <v>24800</v>
      </c>
      <c r="H10">
        <v>10950</v>
      </c>
    </row>
    <row r="11" spans="1:8" x14ac:dyDescent="0.3">
      <c r="B11" s="14" t="s">
        <v>66</v>
      </c>
      <c r="C11" s="16">
        <f>Rental+Utilities+Wages+PerClientCosts*NumberOfClients</f>
        <v>23000</v>
      </c>
      <c r="E11">
        <v>12</v>
      </c>
      <c r="F11">
        <v>39000</v>
      </c>
      <c r="G11">
        <v>24900</v>
      </c>
      <c r="H11">
        <v>14100</v>
      </c>
    </row>
    <row r="12" spans="1:8" x14ac:dyDescent="0.3">
      <c r="B12" s="14" t="s">
        <v>67</v>
      </c>
      <c r="C12" s="15">
        <v>1500</v>
      </c>
      <c r="E12">
        <v>13</v>
      </c>
      <c r="F12">
        <v>42250</v>
      </c>
      <c r="G12">
        <v>25000</v>
      </c>
      <c r="H12">
        <v>17250</v>
      </c>
    </row>
    <row r="13" spans="1:8" x14ac:dyDescent="0.3">
      <c r="B13" s="14" t="s">
        <v>59</v>
      </c>
      <c r="C13" s="16">
        <f>TotalCosts+Marketing</f>
        <v>24500</v>
      </c>
      <c r="E13">
        <v>14</v>
      </c>
      <c r="F13">
        <v>45500</v>
      </c>
      <c r="G13">
        <v>25100</v>
      </c>
      <c r="H13">
        <v>20400</v>
      </c>
    </row>
    <row r="14" spans="1:8" x14ac:dyDescent="0.3">
      <c r="E14">
        <v>15</v>
      </c>
      <c r="F14">
        <v>48750</v>
      </c>
      <c r="G14">
        <v>25200</v>
      </c>
      <c r="H14">
        <v>23550</v>
      </c>
    </row>
    <row r="15" spans="1:8" x14ac:dyDescent="0.3">
      <c r="A15" s="17" t="s">
        <v>46</v>
      </c>
      <c r="B15" s="17"/>
      <c r="C15" s="18">
        <f>TotalIncome-TotalExpensus</f>
        <v>1500</v>
      </c>
      <c r="E15">
        <v>16</v>
      </c>
      <c r="F15">
        <v>52000</v>
      </c>
      <c r="G15">
        <v>25300</v>
      </c>
      <c r="H15">
        <v>26700</v>
      </c>
    </row>
    <row r="16" spans="1:8" x14ac:dyDescent="0.3">
      <c r="E16">
        <v>17</v>
      </c>
      <c r="F16">
        <v>55250</v>
      </c>
      <c r="G16">
        <v>25400</v>
      </c>
      <c r="H16">
        <v>29850</v>
      </c>
    </row>
    <row r="17" spans="5:8" x14ac:dyDescent="0.3">
      <c r="E17">
        <v>18</v>
      </c>
      <c r="F17">
        <v>58500</v>
      </c>
      <c r="G17">
        <v>25500</v>
      </c>
      <c r="H17">
        <v>33000</v>
      </c>
    </row>
    <row r="18" spans="5:8" x14ac:dyDescent="0.3">
      <c r="E18">
        <v>19</v>
      </c>
      <c r="F18">
        <v>61750</v>
      </c>
      <c r="G18">
        <v>25600</v>
      </c>
      <c r="H18">
        <v>36150</v>
      </c>
    </row>
    <row r="19" spans="5:8" x14ac:dyDescent="0.3">
      <c r="E19">
        <v>20</v>
      </c>
      <c r="F19">
        <v>65000</v>
      </c>
      <c r="G19">
        <v>25700</v>
      </c>
      <c r="H19">
        <v>39300</v>
      </c>
    </row>
  </sheetData>
  <conditionalFormatting sqref="F5:H19">
    <cfRule type="cellIs" dxfId="1" priority="1"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7AE-47CE-429B-809D-07F2A6C1D71D}">
  <sheetPr codeName="Sheet32"/>
  <dimension ref="A3:O24"/>
  <sheetViews>
    <sheetView zoomScale="130" zoomScaleNormal="130" workbookViewId="0">
      <selection activeCell="P16" sqref="P16"/>
    </sheetView>
  </sheetViews>
  <sheetFormatPr defaultRowHeight="14.4" x14ac:dyDescent="0.3"/>
  <cols>
    <col min="2" max="2" width="17.44140625" bestFit="1" customWidth="1"/>
    <col min="3" max="3" width="12.33203125" bestFit="1" customWidth="1"/>
    <col min="4" max="4" width="2.6640625" customWidth="1"/>
    <col min="5" max="5" width="12.44140625" bestFit="1" customWidth="1"/>
  </cols>
  <sheetData>
    <row r="3" spans="1:15" x14ac:dyDescent="0.3">
      <c r="A3" s="10" t="s">
        <v>55</v>
      </c>
      <c r="B3" s="11" t="s">
        <v>56</v>
      </c>
      <c r="C3">
        <v>10</v>
      </c>
      <c r="E3" s="4" t="s">
        <v>68</v>
      </c>
      <c r="F3" s="32" t="s">
        <v>69</v>
      </c>
      <c r="G3" s="32"/>
      <c r="H3" s="32"/>
      <c r="I3" s="32"/>
      <c r="J3" s="32"/>
      <c r="K3" s="32"/>
      <c r="L3" s="32"/>
      <c r="M3" s="32"/>
      <c r="N3" s="32"/>
      <c r="O3" s="32"/>
    </row>
    <row r="4" spans="1:15" x14ac:dyDescent="0.3">
      <c r="B4" s="11" t="s">
        <v>61</v>
      </c>
      <c r="C4" s="1">
        <v>3250</v>
      </c>
      <c r="E4" s="4">
        <f>Profit</f>
        <v>7800</v>
      </c>
      <c r="F4">
        <v>1600</v>
      </c>
      <c r="G4">
        <v>1700</v>
      </c>
      <c r="H4">
        <v>1800</v>
      </c>
      <c r="I4">
        <v>1900</v>
      </c>
      <c r="J4">
        <v>2000</v>
      </c>
      <c r="K4">
        <v>2100</v>
      </c>
      <c r="L4">
        <v>2200</v>
      </c>
      <c r="M4">
        <v>2300</v>
      </c>
      <c r="N4">
        <v>2400</v>
      </c>
      <c r="O4">
        <v>2500</v>
      </c>
    </row>
    <row r="5" spans="1:15" x14ac:dyDescent="0.3">
      <c r="B5" s="11" t="s">
        <v>58</v>
      </c>
      <c r="C5" s="12">
        <f>NumberOfClients*FeePerClient</f>
        <v>32500</v>
      </c>
      <c r="E5">
        <v>6</v>
      </c>
      <c r="F5">
        <f t="dataTable" ref="F5:O24" dt2D="1" dtr="1" r1="C4" r2="C3"/>
        <v>-14700</v>
      </c>
      <c r="G5">
        <v>-14100</v>
      </c>
      <c r="H5">
        <v>-13500</v>
      </c>
      <c r="I5">
        <v>-12900</v>
      </c>
      <c r="J5">
        <v>-12300</v>
      </c>
      <c r="K5">
        <v>-11700</v>
      </c>
      <c r="L5">
        <v>-11100</v>
      </c>
      <c r="M5">
        <v>-10500</v>
      </c>
      <c r="N5">
        <v>-9900</v>
      </c>
      <c r="O5">
        <v>-9300</v>
      </c>
    </row>
    <row r="6" spans="1:15" x14ac:dyDescent="0.3">
      <c r="E6">
        <v>7</v>
      </c>
      <c r="F6">
        <v>-13200</v>
      </c>
      <c r="G6">
        <v>-12500</v>
      </c>
      <c r="H6">
        <v>-11800</v>
      </c>
      <c r="I6">
        <v>-11100</v>
      </c>
      <c r="J6">
        <v>-10400</v>
      </c>
      <c r="K6">
        <v>-9700</v>
      </c>
      <c r="L6">
        <v>-9000</v>
      </c>
      <c r="M6">
        <v>-8300</v>
      </c>
      <c r="N6">
        <v>-7600</v>
      </c>
      <c r="O6">
        <v>-6900</v>
      </c>
    </row>
    <row r="7" spans="1:15" x14ac:dyDescent="0.3">
      <c r="A7" s="13" t="s">
        <v>47</v>
      </c>
      <c r="B7" s="14" t="s">
        <v>62</v>
      </c>
      <c r="C7" s="15">
        <v>1500</v>
      </c>
      <c r="E7">
        <v>8</v>
      </c>
      <c r="F7">
        <v>-11700</v>
      </c>
      <c r="G7">
        <v>-10900</v>
      </c>
      <c r="H7">
        <v>-10100</v>
      </c>
      <c r="I7">
        <v>-9300</v>
      </c>
      <c r="J7">
        <v>-8500</v>
      </c>
      <c r="K7">
        <v>-7700</v>
      </c>
      <c r="L7">
        <v>-6900</v>
      </c>
      <c r="M7">
        <v>-6100</v>
      </c>
      <c r="N7">
        <v>-5300</v>
      </c>
      <c r="O7">
        <v>-4500</v>
      </c>
    </row>
    <row r="8" spans="1:15" x14ac:dyDescent="0.3">
      <c r="B8" s="14" t="s">
        <v>63</v>
      </c>
      <c r="C8" s="15">
        <v>700</v>
      </c>
      <c r="E8">
        <v>9</v>
      </c>
      <c r="F8">
        <v>-10200</v>
      </c>
      <c r="G8">
        <v>-9300</v>
      </c>
      <c r="H8">
        <v>-8400</v>
      </c>
      <c r="I8">
        <v>-7500</v>
      </c>
      <c r="J8">
        <v>-6600</v>
      </c>
      <c r="K8">
        <v>-5700</v>
      </c>
      <c r="L8">
        <v>-4800</v>
      </c>
      <c r="M8">
        <v>-3900</v>
      </c>
      <c r="N8">
        <v>-3000</v>
      </c>
      <c r="O8">
        <v>-2100</v>
      </c>
    </row>
    <row r="9" spans="1:15" x14ac:dyDescent="0.3">
      <c r="B9" s="14" t="s">
        <v>64</v>
      </c>
      <c r="C9" s="15">
        <v>20000</v>
      </c>
      <c r="E9">
        <v>10</v>
      </c>
      <c r="F9">
        <v>-8700</v>
      </c>
      <c r="G9">
        <v>-7700</v>
      </c>
      <c r="H9">
        <v>-6700</v>
      </c>
      <c r="I9">
        <v>-5700</v>
      </c>
      <c r="J9">
        <v>-4700</v>
      </c>
      <c r="K9">
        <v>-3700</v>
      </c>
      <c r="L9">
        <v>-2700</v>
      </c>
      <c r="M9">
        <v>-1700</v>
      </c>
      <c r="N9">
        <v>-700</v>
      </c>
      <c r="O9">
        <v>300</v>
      </c>
    </row>
    <row r="10" spans="1:15" x14ac:dyDescent="0.3">
      <c r="B10" s="14" t="s">
        <v>65</v>
      </c>
      <c r="C10" s="15">
        <v>100</v>
      </c>
      <c r="E10">
        <v>11</v>
      </c>
      <c r="F10">
        <v>-7200</v>
      </c>
      <c r="G10">
        <v>-6100</v>
      </c>
      <c r="H10">
        <v>-5000</v>
      </c>
      <c r="I10">
        <v>-3900</v>
      </c>
      <c r="J10">
        <v>-2800</v>
      </c>
      <c r="K10">
        <v>-1700</v>
      </c>
      <c r="L10">
        <v>-600</v>
      </c>
      <c r="M10">
        <v>500</v>
      </c>
      <c r="N10">
        <v>1600</v>
      </c>
      <c r="O10">
        <v>2700</v>
      </c>
    </row>
    <row r="11" spans="1:15" x14ac:dyDescent="0.3">
      <c r="B11" s="14" t="s">
        <v>66</v>
      </c>
      <c r="C11" s="16">
        <f>Rental+Utilities+Wages+PerClientCosts*NumberOfClients</f>
        <v>23200</v>
      </c>
      <c r="E11">
        <v>12</v>
      </c>
      <c r="F11">
        <v>-5700</v>
      </c>
      <c r="G11">
        <v>-4500</v>
      </c>
      <c r="H11">
        <v>-3300</v>
      </c>
      <c r="I11">
        <v>-2100</v>
      </c>
      <c r="J11">
        <v>-900</v>
      </c>
      <c r="K11">
        <v>300</v>
      </c>
      <c r="L11">
        <v>1500</v>
      </c>
      <c r="M11">
        <v>2700</v>
      </c>
      <c r="N11">
        <v>3900</v>
      </c>
      <c r="O11">
        <v>5100</v>
      </c>
    </row>
    <row r="12" spans="1:15" x14ac:dyDescent="0.3">
      <c r="B12" s="14" t="s">
        <v>67</v>
      </c>
      <c r="C12" s="15">
        <v>1500</v>
      </c>
      <c r="E12">
        <v>13</v>
      </c>
      <c r="F12">
        <v>-4200</v>
      </c>
      <c r="G12">
        <v>-2900</v>
      </c>
      <c r="H12">
        <v>-1600</v>
      </c>
      <c r="I12">
        <v>-300</v>
      </c>
      <c r="J12">
        <v>1000</v>
      </c>
      <c r="K12">
        <v>2300</v>
      </c>
      <c r="L12">
        <v>3600</v>
      </c>
      <c r="M12">
        <v>4900</v>
      </c>
      <c r="N12">
        <v>6200</v>
      </c>
      <c r="O12">
        <v>7500</v>
      </c>
    </row>
    <row r="13" spans="1:15" x14ac:dyDescent="0.3">
      <c r="B13" s="14" t="s">
        <v>59</v>
      </c>
      <c r="C13" s="16">
        <f>TotalCosts+Marketing</f>
        <v>24700</v>
      </c>
      <c r="E13">
        <v>14</v>
      </c>
      <c r="F13">
        <v>-2700</v>
      </c>
      <c r="G13">
        <v>-1300</v>
      </c>
      <c r="H13">
        <v>100</v>
      </c>
      <c r="I13">
        <v>1500</v>
      </c>
      <c r="J13">
        <v>2900</v>
      </c>
      <c r="K13">
        <v>4300</v>
      </c>
      <c r="L13">
        <v>5700</v>
      </c>
      <c r="M13">
        <v>7100</v>
      </c>
      <c r="N13">
        <v>8500</v>
      </c>
      <c r="O13">
        <v>9900</v>
      </c>
    </row>
    <row r="14" spans="1:15" x14ac:dyDescent="0.3">
      <c r="E14">
        <v>15</v>
      </c>
      <c r="F14">
        <v>-1200</v>
      </c>
      <c r="G14">
        <v>300</v>
      </c>
      <c r="H14">
        <v>1800</v>
      </c>
      <c r="I14">
        <v>3300</v>
      </c>
      <c r="J14">
        <v>4800</v>
      </c>
      <c r="K14">
        <v>6300</v>
      </c>
      <c r="L14">
        <v>7800</v>
      </c>
      <c r="M14">
        <v>9300</v>
      </c>
      <c r="N14">
        <v>10800</v>
      </c>
      <c r="O14">
        <v>12300</v>
      </c>
    </row>
    <row r="15" spans="1:15" x14ac:dyDescent="0.3">
      <c r="A15" s="17" t="s">
        <v>46</v>
      </c>
      <c r="B15" s="17"/>
      <c r="C15" s="18">
        <f>TotalIncome-TotalExpensus</f>
        <v>7800</v>
      </c>
      <c r="E15">
        <v>16</v>
      </c>
      <c r="F15">
        <v>300</v>
      </c>
      <c r="G15">
        <v>1900</v>
      </c>
      <c r="H15">
        <v>3500</v>
      </c>
      <c r="I15">
        <v>5100</v>
      </c>
      <c r="J15">
        <v>6700</v>
      </c>
      <c r="K15">
        <v>8300</v>
      </c>
      <c r="L15">
        <v>9900</v>
      </c>
      <c r="M15">
        <v>11500</v>
      </c>
      <c r="N15">
        <v>13100</v>
      </c>
      <c r="O15">
        <v>14700</v>
      </c>
    </row>
    <row r="16" spans="1:15" x14ac:dyDescent="0.3">
      <c r="E16">
        <v>17</v>
      </c>
      <c r="F16">
        <v>1800</v>
      </c>
      <c r="G16">
        <v>3500</v>
      </c>
      <c r="H16">
        <v>5200</v>
      </c>
      <c r="I16">
        <v>6900</v>
      </c>
      <c r="J16">
        <v>8600</v>
      </c>
      <c r="K16">
        <v>10300</v>
      </c>
      <c r="L16">
        <v>12000</v>
      </c>
      <c r="M16">
        <v>13700</v>
      </c>
      <c r="N16">
        <v>15400</v>
      </c>
      <c r="O16">
        <v>17100</v>
      </c>
    </row>
    <row r="17" spans="5:15" x14ac:dyDescent="0.3">
      <c r="E17">
        <v>18</v>
      </c>
      <c r="F17">
        <v>3300</v>
      </c>
      <c r="G17">
        <v>5100</v>
      </c>
      <c r="H17">
        <v>6900</v>
      </c>
      <c r="I17">
        <v>8700</v>
      </c>
      <c r="J17">
        <v>10500</v>
      </c>
      <c r="K17">
        <v>12300</v>
      </c>
      <c r="L17">
        <v>14100</v>
      </c>
      <c r="M17">
        <v>15900</v>
      </c>
      <c r="N17">
        <v>17700</v>
      </c>
      <c r="O17">
        <v>19500</v>
      </c>
    </row>
    <row r="18" spans="5:15" x14ac:dyDescent="0.3">
      <c r="E18">
        <v>19</v>
      </c>
      <c r="F18">
        <v>4800</v>
      </c>
      <c r="G18">
        <v>6700</v>
      </c>
      <c r="H18">
        <v>8600</v>
      </c>
      <c r="I18">
        <v>10500</v>
      </c>
      <c r="J18">
        <v>12400</v>
      </c>
      <c r="K18">
        <v>14300</v>
      </c>
      <c r="L18">
        <v>16200</v>
      </c>
      <c r="M18">
        <v>18100</v>
      </c>
      <c r="N18">
        <v>20000</v>
      </c>
      <c r="O18">
        <v>21900</v>
      </c>
    </row>
    <row r="19" spans="5:15" x14ac:dyDescent="0.3">
      <c r="E19">
        <v>20</v>
      </c>
      <c r="F19">
        <v>6300</v>
      </c>
      <c r="G19">
        <v>8300</v>
      </c>
      <c r="H19">
        <v>10300</v>
      </c>
      <c r="I19">
        <v>12300</v>
      </c>
      <c r="J19">
        <v>14300</v>
      </c>
      <c r="K19">
        <v>16300</v>
      </c>
      <c r="L19">
        <v>18300</v>
      </c>
      <c r="M19">
        <v>20300</v>
      </c>
      <c r="N19">
        <v>22300</v>
      </c>
      <c r="O19">
        <v>24300</v>
      </c>
    </row>
    <row r="20" spans="5:15" x14ac:dyDescent="0.3">
      <c r="E20">
        <v>21</v>
      </c>
      <c r="F20">
        <v>7800</v>
      </c>
      <c r="G20">
        <v>9900</v>
      </c>
      <c r="H20">
        <v>12000</v>
      </c>
      <c r="I20">
        <v>14100</v>
      </c>
      <c r="J20">
        <v>16200</v>
      </c>
      <c r="K20">
        <v>18300</v>
      </c>
      <c r="L20">
        <v>20400</v>
      </c>
      <c r="M20">
        <v>22500</v>
      </c>
      <c r="N20">
        <v>24600</v>
      </c>
      <c r="O20">
        <v>26700</v>
      </c>
    </row>
    <row r="21" spans="5:15" x14ac:dyDescent="0.3">
      <c r="E21">
        <v>22</v>
      </c>
      <c r="F21">
        <v>9300</v>
      </c>
      <c r="G21">
        <v>11500</v>
      </c>
      <c r="H21">
        <v>13700</v>
      </c>
      <c r="I21">
        <v>15900</v>
      </c>
      <c r="J21">
        <v>18100</v>
      </c>
      <c r="K21">
        <v>20300</v>
      </c>
      <c r="L21">
        <v>22500</v>
      </c>
      <c r="M21">
        <v>24700</v>
      </c>
      <c r="N21">
        <v>26900</v>
      </c>
      <c r="O21">
        <v>29100</v>
      </c>
    </row>
    <row r="22" spans="5:15" x14ac:dyDescent="0.3">
      <c r="E22">
        <v>23</v>
      </c>
      <c r="F22">
        <v>10800</v>
      </c>
      <c r="G22">
        <v>13100</v>
      </c>
      <c r="H22">
        <v>15400</v>
      </c>
      <c r="I22">
        <v>17700</v>
      </c>
      <c r="J22">
        <v>20000</v>
      </c>
      <c r="K22">
        <v>22300</v>
      </c>
      <c r="L22">
        <v>24600</v>
      </c>
      <c r="M22">
        <v>26900</v>
      </c>
      <c r="N22">
        <v>29200</v>
      </c>
      <c r="O22">
        <v>31500</v>
      </c>
    </row>
    <row r="23" spans="5:15" x14ac:dyDescent="0.3">
      <c r="E23">
        <v>24</v>
      </c>
      <c r="F23">
        <v>12300</v>
      </c>
      <c r="G23">
        <v>14700</v>
      </c>
      <c r="H23">
        <v>17100</v>
      </c>
      <c r="I23">
        <v>19500</v>
      </c>
      <c r="J23">
        <v>21900</v>
      </c>
      <c r="K23">
        <v>24300</v>
      </c>
      <c r="L23">
        <v>26700</v>
      </c>
      <c r="M23">
        <v>29100</v>
      </c>
      <c r="N23">
        <v>31500</v>
      </c>
      <c r="O23">
        <v>33900</v>
      </c>
    </row>
    <row r="24" spans="5:15" x14ac:dyDescent="0.3">
      <c r="E24">
        <v>25</v>
      </c>
      <c r="F24">
        <v>13800</v>
      </c>
      <c r="G24">
        <v>16300</v>
      </c>
      <c r="H24">
        <v>18800</v>
      </c>
      <c r="I24">
        <v>21300</v>
      </c>
      <c r="J24">
        <v>23800</v>
      </c>
      <c r="K24">
        <v>26300</v>
      </c>
      <c r="L24">
        <v>28800</v>
      </c>
      <c r="M24">
        <v>31300</v>
      </c>
      <c r="N24">
        <v>33800</v>
      </c>
      <c r="O24">
        <v>36300</v>
      </c>
    </row>
  </sheetData>
  <mergeCells count="1">
    <mergeCell ref="F3:O3"/>
  </mergeCells>
  <conditionalFormatting sqref="F5:O24">
    <cfRule type="cellIs" dxfId="0" priority="1"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40D9-AFDE-49EE-AE4B-034B9EE3127B}">
  <sheetPr codeName="Sheet33"/>
  <dimension ref="A3:H12"/>
  <sheetViews>
    <sheetView zoomScale="160" zoomScaleNormal="160" workbookViewId="0">
      <selection activeCell="G6" sqref="G6"/>
    </sheetView>
  </sheetViews>
  <sheetFormatPr defaultRowHeight="14.4" x14ac:dyDescent="0.3"/>
  <cols>
    <col min="1" max="2" width="15.6640625" customWidth="1"/>
    <col min="3" max="5" width="11.6640625" customWidth="1"/>
    <col min="6" max="6" width="12.6640625" customWidth="1"/>
    <col min="7" max="8" width="17.6640625" customWidth="1"/>
  </cols>
  <sheetData>
    <row r="3" spans="1:8" x14ac:dyDescent="0.3">
      <c r="A3" s="19" t="s">
        <v>70</v>
      </c>
      <c r="B3" s="19" t="s">
        <v>71</v>
      </c>
      <c r="C3" s="19" t="s">
        <v>72</v>
      </c>
      <c r="D3" s="19" t="s">
        <v>73</v>
      </c>
      <c r="E3" s="19" t="s">
        <v>74</v>
      </c>
      <c r="F3" s="19" t="s">
        <v>75</v>
      </c>
      <c r="G3" s="20" t="s">
        <v>76</v>
      </c>
      <c r="H3" s="20" t="s">
        <v>77</v>
      </c>
    </row>
    <row r="4" spans="1:8" x14ac:dyDescent="0.3">
      <c r="A4" s="5" t="s">
        <v>78</v>
      </c>
      <c r="B4" s="5">
        <v>3</v>
      </c>
      <c r="C4" s="5">
        <v>1</v>
      </c>
      <c r="D4" s="3">
        <v>1</v>
      </c>
      <c r="E4" s="8">
        <v>550</v>
      </c>
      <c r="F4" s="21">
        <f>NoOfMapleTable*PriceMapleTable</f>
        <v>550</v>
      </c>
      <c r="G4" s="22">
        <f>FinishWorkMapleTable*NoOfMapleTable+FinishWorkMahoganyTable*NoOfMahoganyTable</f>
        <v>3</v>
      </c>
      <c r="H4" s="22">
        <f>RoughCarpentryMapleTable*NoOfMapleTable+RoughCarpentryMahoganyTable*NoOfMahoganyTable</f>
        <v>7</v>
      </c>
    </row>
    <row r="5" spans="1:8" x14ac:dyDescent="0.3">
      <c r="A5" s="5" t="s">
        <v>79</v>
      </c>
      <c r="B5" s="5">
        <v>4</v>
      </c>
      <c r="C5" s="5">
        <v>2</v>
      </c>
      <c r="D5" s="3">
        <v>1</v>
      </c>
      <c r="E5" s="8">
        <v>1200</v>
      </c>
      <c r="F5" s="21">
        <f>NoOfMahoganyTable*PriceMahoganyTable</f>
        <v>1200</v>
      </c>
    </row>
    <row r="6" spans="1:8" x14ac:dyDescent="0.3">
      <c r="D6" s="23">
        <f>NoOfMapleTable+NoOfMahoganyTable</f>
        <v>2</v>
      </c>
      <c r="F6" s="24">
        <f>RevenueMapleTable+RevenueMahoganyTable</f>
        <v>1750</v>
      </c>
    </row>
    <row r="8" spans="1:8" x14ac:dyDescent="0.3">
      <c r="G8" s="33" t="s">
        <v>80</v>
      </c>
      <c r="H8" s="33"/>
    </row>
    <row r="9" spans="1:8" x14ac:dyDescent="0.3">
      <c r="G9" s="25" t="s">
        <v>81</v>
      </c>
      <c r="H9" s="26">
        <v>80</v>
      </c>
    </row>
    <row r="10" spans="1:8" x14ac:dyDescent="0.3">
      <c r="G10" s="25" t="s">
        <v>82</v>
      </c>
      <c r="H10" s="26">
        <v>30</v>
      </c>
    </row>
    <row r="11" spans="1:8" x14ac:dyDescent="0.3">
      <c r="G11" s="25" t="s">
        <v>83</v>
      </c>
      <c r="H11" s="26">
        <v>10</v>
      </c>
    </row>
    <row r="12" spans="1:8" x14ac:dyDescent="0.3">
      <c r="G12" s="25" t="s">
        <v>84</v>
      </c>
      <c r="H12" s="26">
        <v>0</v>
      </c>
    </row>
  </sheetData>
  <mergeCells count="1">
    <mergeCell ref="G8:H8"/>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63FD-2A3C-4F01-A1BA-6DA9A4B805F6}">
  <dimension ref="A3:H12"/>
  <sheetViews>
    <sheetView zoomScale="160" zoomScaleNormal="160" workbookViewId="0">
      <selection activeCell="H4" sqref="H4"/>
    </sheetView>
  </sheetViews>
  <sheetFormatPr defaultRowHeight="14.4" x14ac:dyDescent="0.3"/>
  <cols>
    <col min="1" max="2" width="15.6640625" customWidth="1"/>
    <col min="3" max="5" width="11.6640625" customWidth="1"/>
    <col min="6" max="6" width="12.6640625" customWidth="1"/>
    <col min="7" max="8" width="17.6640625" customWidth="1"/>
  </cols>
  <sheetData>
    <row r="3" spans="1:8" x14ac:dyDescent="0.3">
      <c r="A3" s="19" t="s">
        <v>70</v>
      </c>
      <c r="B3" s="19" t="s">
        <v>71</v>
      </c>
      <c r="C3" s="19" t="s">
        <v>72</v>
      </c>
      <c r="D3" s="19" t="s">
        <v>73</v>
      </c>
      <c r="E3" s="19" t="s">
        <v>74</v>
      </c>
      <c r="F3" s="19" t="s">
        <v>75</v>
      </c>
      <c r="G3" s="20" t="s">
        <v>76</v>
      </c>
      <c r="H3" s="20" t="s">
        <v>77</v>
      </c>
    </row>
    <row r="4" spans="1:8" x14ac:dyDescent="0.3">
      <c r="A4" s="5" t="s">
        <v>78</v>
      </c>
      <c r="B4" s="5">
        <v>3</v>
      </c>
      <c r="C4" s="5">
        <v>1</v>
      </c>
      <c r="D4" s="3">
        <v>10.000000000000004</v>
      </c>
      <c r="E4" s="8">
        <v>550</v>
      </c>
      <c r="F4" s="21">
        <f>NoOfMapleTable*PriceMapleTable</f>
        <v>5500.0000000000018</v>
      </c>
      <c r="G4" s="22">
        <f>FinishWorkMapleTable*NoOfMapleTable+FinishWorkMahoganyTable*NoOfMahoganyTable</f>
        <v>30.000000000000004</v>
      </c>
      <c r="H4" s="22">
        <f>RoughCarpentryMapleTable*NoOfMapleTable+RoughCarpentryMahoganyTable*NoOfMahoganyTable</f>
        <v>70.000000000000014</v>
      </c>
    </row>
    <row r="5" spans="1:8" x14ac:dyDescent="0.3">
      <c r="A5" s="5" t="s">
        <v>79</v>
      </c>
      <c r="B5" s="5">
        <v>4</v>
      </c>
      <c r="C5" s="5">
        <v>2</v>
      </c>
      <c r="D5" s="3">
        <v>10</v>
      </c>
      <c r="E5" s="8">
        <v>1200</v>
      </c>
      <c r="F5" s="21">
        <f>NoOfMahoganyTable*PriceMahoganyTable</f>
        <v>12000</v>
      </c>
    </row>
    <row r="6" spans="1:8" x14ac:dyDescent="0.3">
      <c r="D6" s="23">
        <f>NoOfMapleTable+NoOfMahoganyTable</f>
        <v>20.000000000000004</v>
      </c>
      <c r="F6" s="24">
        <f>RevenueMapleTable+RevenueMahoganyTable</f>
        <v>17500</v>
      </c>
    </row>
    <row r="8" spans="1:8" x14ac:dyDescent="0.3">
      <c r="G8" s="33" t="s">
        <v>80</v>
      </c>
      <c r="H8" s="33"/>
    </row>
    <row r="9" spans="1:8" x14ac:dyDescent="0.3">
      <c r="G9" s="25" t="s">
        <v>81</v>
      </c>
      <c r="H9" s="26">
        <v>80</v>
      </c>
    </row>
    <row r="10" spans="1:8" x14ac:dyDescent="0.3">
      <c r="G10" s="25" t="s">
        <v>82</v>
      </c>
      <c r="H10" s="26">
        <v>30</v>
      </c>
    </row>
    <row r="11" spans="1:8" x14ac:dyDescent="0.3">
      <c r="G11" s="25" t="s">
        <v>83</v>
      </c>
      <c r="H11" s="26">
        <v>10</v>
      </c>
    </row>
    <row r="12" spans="1:8" x14ac:dyDescent="0.3">
      <c r="G12" s="25" t="s">
        <v>84</v>
      </c>
      <c r="H12" s="26">
        <v>0</v>
      </c>
    </row>
  </sheetData>
  <mergeCells count="1">
    <mergeCell ref="G8:H8"/>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434F-48A3-43D6-BC48-46B5194067C9}">
  <dimension ref="A3:H13"/>
  <sheetViews>
    <sheetView zoomScale="160" zoomScaleNormal="160" workbookViewId="0">
      <selection activeCell="F6" sqref="F6"/>
    </sheetView>
  </sheetViews>
  <sheetFormatPr defaultRowHeight="14.4" x14ac:dyDescent="0.3"/>
  <cols>
    <col min="1" max="2" width="15.6640625" customWidth="1"/>
    <col min="3" max="5" width="11.6640625" customWidth="1"/>
    <col min="6" max="6" width="12.6640625" customWidth="1"/>
    <col min="7" max="8" width="17.6640625" customWidth="1"/>
  </cols>
  <sheetData>
    <row r="3" spans="1:8" x14ac:dyDescent="0.3">
      <c r="A3" s="19" t="s">
        <v>70</v>
      </c>
      <c r="B3" s="19" t="s">
        <v>71</v>
      </c>
      <c r="C3" s="19" t="s">
        <v>72</v>
      </c>
      <c r="D3" s="19" t="s">
        <v>73</v>
      </c>
      <c r="E3" s="19" t="s">
        <v>74</v>
      </c>
      <c r="F3" s="19" t="s">
        <v>75</v>
      </c>
      <c r="G3" s="20" t="s">
        <v>76</v>
      </c>
      <c r="H3" s="20" t="s">
        <v>77</v>
      </c>
    </row>
    <row r="4" spans="1:8" x14ac:dyDescent="0.3">
      <c r="A4" s="5" t="s">
        <v>78</v>
      </c>
      <c r="B4" s="5">
        <v>3</v>
      </c>
      <c r="C4" s="5">
        <v>1</v>
      </c>
      <c r="D4" s="3">
        <v>9.9999999999999964</v>
      </c>
      <c r="E4" s="8">
        <v>550</v>
      </c>
      <c r="F4" s="21">
        <f>NoOfMapleTable*PriceMapleTable</f>
        <v>5499.9999999999982</v>
      </c>
      <c r="G4" s="22">
        <f>SUMPRODUCT(C4:C6,D4:D6)</f>
        <v>29.999999999999996</v>
      </c>
      <c r="H4" s="22">
        <f>SUMPRODUCT(B4:B6,D4:D6)</f>
        <v>80</v>
      </c>
    </row>
    <row r="5" spans="1:8" x14ac:dyDescent="0.3">
      <c r="A5" s="5" t="s">
        <v>79</v>
      </c>
      <c r="B5" s="5">
        <v>4</v>
      </c>
      <c r="C5" s="5">
        <v>2</v>
      </c>
      <c r="D5" s="3">
        <v>10</v>
      </c>
      <c r="E5" s="8">
        <v>1200</v>
      </c>
      <c r="F5" s="21">
        <f>NoOfMahoganyTable*PriceMahoganyTable</f>
        <v>12000</v>
      </c>
    </row>
    <row r="6" spans="1:8" x14ac:dyDescent="0.3">
      <c r="A6" s="5" t="s">
        <v>160</v>
      </c>
      <c r="B6" s="5">
        <v>2</v>
      </c>
      <c r="C6" s="5">
        <v>0</v>
      </c>
      <c r="D6" s="3">
        <v>5.0000000000000107</v>
      </c>
      <c r="E6" s="8">
        <v>200</v>
      </c>
      <c r="F6" s="21">
        <f>NoOfPlywoodTable*PricePlywoodTable</f>
        <v>1000.0000000000022</v>
      </c>
    </row>
    <row r="7" spans="1:8" x14ac:dyDescent="0.3">
      <c r="D7" s="23">
        <f>SUM(D4:D6)</f>
        <v>25.000000000000007</v>
      </c>
      <c r="F7" s="24">
        <f>SUM(F4:F6)</f>
        <v>18500.000000000004</v>
      </c>
    </row>
    <row r="9" spans="1:8" x14ac:dyDescent="0.3">
      <c r="G9" s="33" t="s">
        <v>80</v>
      </c>
      <c r="H9" s="33"/>
    </row>
    <row r="10" spans="1:8" x14ac:dyDescent="0.3">
      <c r="G10" s="25" t="s">
        <v>81</v>
      </c>
      <c r="H10" s="26">
        <v>80</v>
      </c>
    </row>
    <row r="11" spans="1:8" x14ac:dyDescent="0.3">
      <c r="G11" s="25" t="s">
        <v>82</v>
      </c>
      <c r="H11" s="26">
        <v>30</v>
      </c>
    </row>
    <row r="12" spans="1:8" x14ac:dyDescent="0.3">
      <c r="G12" s="25" t="s">
        <v>83</v>
      </c>
      <c r="H12" s="26">
        <v>10</v>
      </c>
    </row>
    <row r="13" spans="1:8" x14ac:dyDescent="0.3">
      <c r="G13" s="25" t="s">
        <v>84</v>
      </c>
      <c r="H13" s="26">
        <v>0</v>
      </c>
    </row>
  </sheetData>
  <mergeCells count="1">
    <mergeCell ref="G9:H9"/>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725E-20F6-4DD5-8B0F-10DF64AC0439}">
  <dimension ref="A3:H14"/>
  <sheetViews>
    <sheetView zoomScale="160" zoomScaleNormal="160" workbookViewId="0">
      <selection activeCell="G16" sqref="G16"/>
    </sheetView>
  </sheetViews>
  <sheetFormatPr defaultRowHeight="14.4" x14ac:dyDescent="0.3"/>
  <cols>
    <col min="1" max="2" width="15.6640625" customWidth="1"/>
    <col min="3" max="5" width="11.6640625" customWidth="1"/>
    <col min="6" max="6" width="12.6640625" customWidth="1"/>
    <col min="7" max="8" width="17.6640625" customWidth="1"/>
  </cols>
  <sheetData>
    <row r="3" spans="1:8" x14ac:dyDescent="0.3">
      <c r="A3" s="19" t="s">
        <v>70</v>
      </c>
      <c r="B3" s="19" t="s">
        <v>71</v>
      </c>
      <c r="C3" s="19" t="s">
        <v>72</v>
      </c>
      <c r="D3" s="19" t="s">
        <v>73</v>
      </c>
      <c r="E3" s="19" t="s">
        <v>74</v>
      </c>
      <c r="F3" s="19" t="s">
        <v>75</v>
      </c>
      <c r="G3" s="20" t="s">
        <v>76</v>
      </c>
      <c r="H3" s="20" t="s">
        <v>77</v>
      </c>
    </row>
    <row r="4" spans="1:8" x14ac:dyDescent="0.3">
      <c r="A4" s="5" t="s">
        <v>78</v>
      </c>
      <c r="B4" s="5">
        <v>3</v>
      </c>
      <c r="C4" s="5">
        <v>1</v>
      </c>
      <c r="D4" s="3">
        <v>9.9999999999999964</v>
      </c>
      <c r="E4" s="8">
        <v>550</v>
      </c>
      <c r="F4" s="21">
        <f>NoOfMapleTable*PriceMapleTable</f>
        <v>5499.9999999999982</v>
      </c>
      <c r="G4" s="22">
        <f>SUMPRODUCT(C4:C6,D4:D6)</f>
        <v>29.999999999999996</v>
      </c>
      <c r="H4" s="22">
        <f>SUMPRODUCT(B4:B6,D4:D6)</f>
        <v>74</v>
      </c>
    </row>
    <row r="5" spans="1:8" x14ac:dyDescent="0.3">
      <c r="A5" s="5" t="s">
        <v>79</v>
      </c>
      <c r="B5" s="5">
        <v>4</v>
      </c>
      <c r="C5" s="5">
        <v>2</v>
      </c>
      <c r="D5" s="3">
        <v>10</v>
      </c>
      <c r="E5" s="8">
        <v>1200</v>
      </c>
      <c r="F5" s="21">
        <f>NoOfMahoganyTable*PriceMahoganyTable</f>
        <v>12000</v>
      </c>
    </row>
    <row r="6" spans="1:8" x14ac:dyDescent="0.3">
      <c r="A6" s="5" t="s">
        <v>160</v>
      </c>
      <c r="B6" s="5">
        <v>2</v>
      </c>
      <c r="C6" s="5">
        <v>0</v>
      </c>
      <c r="D6" s="3">
        <v>2.0000000000000044</v>
      </c>
      <c r="E6" s="8">
        <v>200</v>
      </c>
      <c r="F6" s="21">
        <f>NoOfPlywoodTable*PricePlywoodTable</f>
        <v>400.00000000000091</v>
      </c>
    </row>
    <row r="7" spans="1:8" x14ac:dyDescent="0.3">
      <c r="D7" s="23">
        <f>SUM(D4:D6)</f>
        <v>22</v>
      </c>
      <c r="F7" s="24">
        <f>SUM(F4:F6)</f>
        <v>17900</v>
      </c>
    </row>
    <row r="9" spans="1:8" x14ac:dyDescent="0.3">
      <c r="G9" s="33" t="s">
        <v>80</v>
      </c>
      <c r="H9" s="33"/>
    </row>
    <row r="10" spans="1:8" x14ac:dyDescent="0.3">
      <c r="G10" s="25" t="s">
        <v>81</v>
      </c>
      <c r="H10" s="26">
        <v>80</v>
      </c>
    </row>
    <row r="11" spans="1:8" x14ac:dyDescent="0.3">
      <c r="G11" s="25" t="s">
        <v>82</v>
      </c>
      <c r="H11" s="26">
        <v>30</v>
      </c>
    </row>
    <row r="12" spans="1:8" x14ac:dyDescent="0.3">
      <c r="G12" s="25" t="s">
        <v>83</v>
      </c>
      <c r="H12" s="26">
        <v>10</v>
      </c>
    </row>
    <row r="13" spans="1:8" x14ac:dyDescent="0.3">
      <c r="G13" s="25" t="s">
        <v>84</v>
      </c>
      <c r="H13" s="26">
        <v>0</v>
      </c>
    </row>
    <row r="14" spans="1:8" x14ac:dyDescent="0.3">
      <c r="G14" s="25" t="s">
        <v>161</v>
      </c>
      <c r="H14" s="26">
        <v>22</v>
      </c>
    </row>
  </sheetData>
  <mergeCells count="1">
    <mergeCell ref="G9:H9"/>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BD70-5BA7-4E65-8EF9-F1D14195E1EA}">
  <dimension ref="A3:H14"/>
  <sheetViews>
    <sheetView zoomScale="160" zoomScaleNormal="160" workbookViewId="0">
      <selection activeCell="C12" sqref="C12"/>
    </sheetView>
  </sheetViews>
  <sheetFormatPr defaultRowHeight="14.4" x14ac:dyDescent="0.3"/>
  <cols>
    <col min="1" max="2" width="15.6640625" customWidth="1"/>
    <col min="3" max="5" width="11.6640625" customWidth="1"/>
    <col min="6" max="6" width="12.6640625" customWidth="1"/>
    <col min="7" max="8" width="17.6640625" customWidth="1"/>
  </cols>
  <sheetData>
    <row r="3" spans="1:8" x14ac:dyDescent="0.3">
      <c r="A3" s="19" t="s">
        <v>70</v>
      </c>
      <c r="B3" s="19" t="s">
        <v>71</v>
      </c>
      <c r="C3" s="19" t="s">
        <v>72</v>
      </c>
      <c r="D3" s="19" t="s">
        <v>73</v>
      </c>
      <c r="E3" s="19" t="s">
        <v>74</v>
      </c>
      <c r="F3" s="19" t="s">
        <v>75</v>
      </c>
      <c r="G3" s="20" t="s">
        <v>76</v>
      </c>
      <c r="H3" s="20" t="s">
        <v>77</v>
      </c>
    </row>
    <row r="4" spans="1:8" x14ac:dyDescent="0.3">
      <c r="A4" s="5" t="s">
        <v>78</v>
      </c>
      <c r="B4" s="5">
        <v>3</v>
      </c>
      <c r="C4" s="5">
        <v>1</v>
      </c>
      <c r="D4" s="3">
        <v>4.0000000000000009</v>
      </c>
      <c r="E4" s="8">
        <v>550</v>
      </c>
      <c r="F4" s="21">
        <f>NoOfMapleTable*PriceMapleTable</f>
        <v>2200.0000000000005</v>
      </c>
      <c r="G4" s="22">
        <f>SUMPRODUCT(C4:C6,D4:D6)</f>
        <v>24</v>
      </c>
      <c r="H4" s="22">
        <f>SUMPRODUCT(B4:B6,D4:D6)</f>
        <v>80</v>
      </c>
    </row>
    <row r="5" spans="1:8" x14ac:dyDescent="0.3">
      <c r="A5" s="5" t="s">
        <v>79</v>
      </c>
      <c r="B5" s="5">
        <v>4</v>
      </c>
      <c r="C5" s="5">
        <v>2</v>
      </c>
      <c r="D5" s="3">
        <v>10</v>
      </c>
      <c r="E5" s="8">
        <v>1200</v>
      </c>
      <c r="F5" s="21">
        <f>NoOfMahoganyTable*PriceMahoganyTable</f>
        <v>12000</v>
      </c>
    </row>
    <row r="6" spans="1:8" x14ac:dyDescent="0.3">
      <c r="A6" s="5" t="s">
        <v>160</v>
      </c>
      <c r="B6" s="5">
        <v>2</v>
      </c>
      <c r="C6" s="5">
        <v>0</v>
      </c>
      <c r="D6" s="3">
        <v>13.999999999999996</v>
      </c>
      <c r="E6" s="8">
        <v>200</v>
      </c>
      <c r="F6" s="21">
        <f>NoOfPlywoodTable*PricePlywoodTable</f>
        <v>2799.9999999999991</v>
      </c>
    </row>
    <row r="7" spans="1:8" x14ac:dyDescent="0.3">
      <c r="D7" s="23">
        <f>SUM(D4:D6)</f>
        <v>27.999999999999996</v>
      </c>
      <c r="F7" s="24">
        <f>SUM(F4:F6)</f>
        <v>17000</v>
      </c>
    </row>
    <row r="9" spans="1:8" x14ac:dyDescent="0.3">
      <c r="G9" s="33" t="s">
        <v>80</v>
      </c>
      <c r="H9" s="33"/>
    </row>
    <row r="10" spans="1:8" x14ac:dyDescent="0.3">
      <c r="G10" s="25" t="s">
        <v>81</v>
      </c>
      <c r="H10" s="26">
        <v>80</v>
      </c>
    </row>
    <row r="11" spans="1:8" x14ac:dyDescent="0.3">
      <c r="G11" s="25" t="s">
        <v>82</v>
      </c>
      <c r="H11" s="26">
        <v>24</v>
      </c>
    </row>
    <row r="12" spans="1:8" x14ac:dyDescent="0.3">
      <c r="G12" s="25" t="s">
        <v>83</v>
      </c>
      <c r="H12" s="26">
        <v>10</v>
      </c>
    </row>
    <row r="13" spans="1:8" x14ac:dyDescent="0.3">
      <c r="G13" s="25" t="s">
        <v>84</v>
      </c>
      <c r="H13" s="26">
        <v>0</v>
      </c>
    </row>
    <row r="14" spans="1:8" x14ac:dyDescent="0.3">
      <c r="G14" s="25" t="s">
        <v>161</v>
      </c>
      <c r="H14" s="26">
        <v>30</v>
      </c>
    </row>
  </sheetData>
  <mergeCells count="1">
    <mergeCell ref="G9:H9"/>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97C0-274A-401F-993C-414A2C472E51}">
  <dimension ref="B2"/>
  <sheetViews>
    <sheetView tabSelected="1" zoomScale="160" zoomScaleNormal="160" workbookViewId="0">
      <selection activeCell="K5" sqref="K5"/>
    </sheetView>
  </sheetViews>
  <sheetFormatPr defaultRowHeight="14.4" x14ac:dyDescent="0.3"/>
  <sheetData>
    <row r="2" spans="2:2" x14ac:dyDescent="0.3">
      <c r="B2"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1</vt:i4>
      </vt:variant>
      <vt:variant>
        <vt:lpstr>Named Ranges</vt:lpstr>
      </vt:variant>
      <vt:variant>
        <vt:i4>143</vt:i4>
      </vt:variant>
    </vt:vector>
  </HeadingPairs>
  <TitlesOfParts>
    <vt:vector size="171" baseType="lpstr">
      <vt:lpstr>Pivot Table</vt:lpstr>
      <vt:lpstr>Slicer</vt:lpstr>
      <vt:lpstr>Employee</vt:lpstr>
      <vt:lpstr>Apraisal</vt:lpstr>
      <vt:lpstr>Tables</vt:lpstr>
      <vt:lpstr>Data Entry</vt:lpstr>
      <vt:lpstr>Q1</vt:lpstr>
      <vt:lpstr>Q2</vt:lpstr>
      <vt:lpstr>Q3</vt:lpstr>
      <vt:lpstr>Q4</vt:lpstr>
      <vt:lpstr>Yearly</vt:lpstr>
      <vt:lpstr>Yearly (Linked)</vt:lpstr>
      <vt:lpstr>Jan</vt:lpstr>
      <vt:lpstr>Feb</vt:lpstr>
      <vt:lpstr>Mar</vt:lpstr>
      <vt:lpstr>Quater Sales</vt:lpstr>
      <vt:lpstr>Quater Sales (Linked)</vt:lpstr>
      <vt:lpstr>Scenario Summary</vt:lpstr>
      <vt:lpstr>Goal Seek</vt:lpstr>
      <vt:lpstr>Data Table (1 Var)</vt:lpstr>
      <vt:lpstr>Data Table (2 Var)</vt:lpstr>
      <vt:lpstr>Solver</vt:lpstr>
      <vt:lpstr>Solver (Ex1)</vt:lpstr>
      <vt:lpstr>Solver (Ex2)</vt:lpstr>
      <vt:lpstr>Solver (Ex3)</vt:lpstr>
      <vt:lpstr>Solver (Ex4)</vt:lpstr>
      <vt:lpstr>Solver Exercise</vt:lpstr>
      <vt:lpstr>Employee Basic Salary</vt:lpstr>
      <vt:lpstr>'Data Entry'!DeliveryBy</vt:lpstr>
      <vt:lpstr>'Data Entry'!Destination</vt:lpstr>
      <vt:lpstr>'Data Entry'!Discount</vt:lpstr>
      <vt:lpstr>'Data Table (1 Var)'!FeePerClient</vt:lpstr>
      <vt:lpstr>'Data Table (2 Var)'!FeePerClient</vt:lpstr>
      <vt:lpstr>Solver!FinishWorkMahoganyTable</vt:lpstr>
      <vt:lpstr>'Solver (Ex1)'!FinishWorkMahoganyTable</vt:lpstr>
      <vt:lpstr>'Solver (Ex2)'!FinishWorkMahoganyTable</vt:lpstr>
      <vt:lpstr>'Solver (Ex3)'!FinishWorkMahoganyTable</vt:lpstr>
      <vt:lpstr>'Solver (Ex4)'!FinishWorkMahoganyTable</vt:lpstr>
      <vt:lpstr>Solver!FinishWorkMapleTable</vt:lpstr>
      <vt:lpstr>'Solver (Ex1)'!FinishWorkMapleTable</vt:lpstr>
      <vt:lpstr>'Solver (Ex2)'!FinishWorkMapleTable</vt:lpstr>
      <vt:lpstr>'Solver (Ex3)'!FinishWorkMapleTable</vt:lpstr>
      <vt:lpstr>'Solver (Ex4)'!FinishWorkMapleTable</vt:lpstr>
      <vt:lpstr>'Solver (Ex2)'!FinishWorkPlyTable</vt:lpstr>
      <vt:lpstr>'Solver (Ex3)'!FinishWorkPlyTable</vt:lpstr>
      <vt:lpstr>'Solver (Ex4)'!FinishWorkPlyTable</vt:lpstr>
      <vt:lpstr>'Data Entry'!GST?</vt:lpstr>
      <vt:lpstr>'Goal Seek'!Installment</vt:lpstr>
      <vt:lpstr>'Goal Seek'!LoanAmount</vt:lpstr>
      <vt:lpstr>'Data Table (1 Var)'!Marketing</vt:lpstr>
      <vt:lpstr>'Data Table (2 Var)'!Marketing</vt:lpstr>
      <vt:lpstr>Solver!MaxFinishHours</vt:lpstr>
      <vt:lpstr>'Solver (Ex1)'!MaxFinishHours</vt:lpstr>
      <vt:lpstr>'Solver (Ex2)'!MaxFinishHours</vt:lpstr>
      <vt:lpstr>'Solver (Ex3)'!MaxFinishHours</vt:lpstr>
      <vt:lpstr>'Solver (Ex4)'!MaxFinishHours</vt:lpstr>
      <vt:lpstr>Solver!MaxMahoganySupply</vt:lpstr>
      <vt:lpstr>'Solver (Ex1)'!MaxMahoganySupply</vt:lpstr>
      <vt:lpstr>'Solver (Ex2)'!MaxMahoganySupply</vt:lpstr>
      <vt:lpstr>'Solver (Ex3)'!MaxMahoganySupply</vt:lpstr>
      <vt:lpstr>'Solver (Ex4)'!MaxMahoganySupply</vt:lpstr>
      <vt:lpstr>Solver!MaxRoughHours</vt:lpstr>
      <vt:lpstr>'Solver (Ex1)'!MaxRoughHours</vt:lpstr>
      <vt:lpstr>'Solver (Ex2)'!MaxRoughHours</vt:lpstr>
      <vt:lpstr>'Solver (Ex3)'!MaxRoughHours</vt:lpstr>
      <vt:lpstr>'Solver (Ex4)'!MaxRoughHours</vt:lpstr>
      <vt:lpstr>Solver!MinAssembled</vt:lpstr>
      <vt:lpstr>'Solver (Ex1)'!MinAssembled</vt:lpstr>
      <vt:lpstr>'Solver (Ex2)'!MinAssembled</vt:lpstr>
      <vt:lpstr>'Solver (Ex3)'!MinAssembled</vt:lpstr>
      <vt:lpstr>'Solver (Ex4)'!MinAssembled</vt:lpstr>
      <vt:lpstr>Solver!NoOfMahoganyTable</vt:lpstr>
      <vt:lpstr>'Solver (Ex1)'!NoOfMahoganyTable</vt:lpstr>
      <vt:lpstr>'Solver (Ex2)'!NoOfMahoganyTable</vt:lpstr>
      <vt:lpstr>'Solver (Ex3)'!NoOfMahoganyTable</vt:lpstr>
      <vt:lpstr>'Solver (Ex4)'!NoOfMahoganyTable</vt:lpstr>
      <vt:lpstr>Solver!NoOfMapleTable</vt:lpstr>
      <vt:lpstr>'Solver (Ex1)'!NoOfMapleTable</vt:lpstr>
      <vt:lpstr>'Solver (Ex2)'!NoOfMapleTable</vt:lpstr>
      <vt:lpstr>'Solver (Ex3)'!NoOfMapleTable</vt:lpstr>
      <vt:lpstr>'Solver (Ex4)'!NoOfMapleTable</vt:lpstr>
      <vt:lpstr>'Solver (Ex2)'!NoOfPlywoodTable</vt:lpstr>
      <vt:lpstr>'Solver (Ex3)'!NoOfPlywoodTable</vt:lpstr>
      <vt:lpstr>'Solver (Ex4)'!NoOfPlywoodTable</vt:lpstr>
      <vt:lpstr>'Data Table (1 Var)'!NumberOfClients</vt:lpstr>
      <vt:lpstr>'Data Table (2 Var)'!NumberOfClients</vt:lpstr>
      <vt:lpstr>'Data Table (1 Var)'!PerClientCosts</vt:lpstr>
      <vt:lpstr>'Data Table (2 Var)'!PerClientCosts</vt:lpstr>
      <vt:lpstr>Solver!PriceMahoganyTable</vt:lpstr>
      <vt:lpstr>'Solver (Ex1)'!PriceMahoganyTable</vt:lpstr>
      <vt:lpstr>'Solver (Ex2)'!PriceMahoganyTable</vt:lpstr>
      <vt:lpstr>'Solver (Ex3)'!PriceMahoganyTable</vt:lpstr>
      <vt:lpstr>'Solver (Ex4)'!PriceMahoganyTable</vt:lpstr>
      <vt:lpstr>Solver!PriceMapleTable</vt:lpstr>
      <vt:lpstr>'Solver (Ex1)'!PriceMapleTable</vt:lpstr>
      <vt:lpstr>'Solver (Ex2)'!PriceMapleTable</vt:lpstr>
      <vt:lpstr>'Solver (Ex3)'!PriceMapleTable</vt:lpstr>
      <vt:lpstr>'Solver (Ex4)'!PriceMapleTable</vt:lpstr>
      <vt:lpstr>'Solver (Ex2)'!PricePlywoodTable</vt:lpstr>
      <vt:lpstr>'Solver (Ex3)'!PricePlywoodTable</vt:lpstr>
      <vt:lpstr>'Solver (Ex4)'!PricePlywoodTable</vt:lpstr>
      <vt:lpstr>'Data Table (1 Var)'!Profit</vt:lpstr>
      <vt:lpstr>'Data Table (2 Var)'!Profit</vt:lpstr>
      <vt:lpstr>'Data Entry'!Quantity</vt:lpstr>
      <vt:lpstr>'Goal Seek'!Rate</vt:lpstr>
      <vt:lpstr>'Data Table (1 Var)'!Rental</vt:lpstr>
      <vt:lpstr>'Data Table (2 Var)'!Rental</vt:lpstr>
      <vt:lpstr>Solver!RevenueMahoganyTable</vt:lpstr>
      <vt:lpstr>'Solver (Ex1)'!RevenueMahoganyTable</vt:lpstr>
      <vt:lpstr>'Solver (Ex2)'!RevenueMahoganyTable</vt:lpstr>
      <vt:lpstr>'Solver (Ex3)'!RevenueMahoganyTable</vt:lpstr>
      <vt:lpstr>'Solver (Ex4)'!RevenueMahoganyTable</vt:lpstr>
      <vt:lpstr>Solver!RevenueMapleTable</vt:lpstr>
      <vt:lpstr>'Solver (Ex1)'!RevenueMapleTable</vt:lpstr>
      <vt:lpstr>'Solver (Ex2)'!RevenueMapleTable</vt:lpstr>
      <vt:lpstr>'Solver (Ex3)'!RevenueMapleTable</vt:lpstr>
      <vt:lpstr>'Solver (Ex4)'!RevenueMapleTable</vt:lpstr>
      <vt:lpstr>'Solver (Ex2)'!RevenuePlywoodTable</vt:lpstr>
      <vt:lpstr>'Solver (Ex3)'!RevenuePlywoodTable</vt:lpstr>
      <vt:lpstr>'Solver (Ex4)'!RevenuePlywoodTable</vt:lpstr>
      <vt:lpstr>Solver!RoughCarpentryMahoganyTable</vt:lpstr>
      <vt:lpstr>'Solver (Ex1)'!RoughCarpentryMahoganyTable</vt:lpstr>
      <vt:lpstr>'Solver (Ex2)'!RoughCarpentryMahoganyTable</vt:lpstr>
      <vt:lpstr>'Solver (Ex3)'!RoughCarpentryMahoganyTable</vt:lpstr>
      <vt:lpstr>'Solver (Ex4)'!RoughCarpentryMahoganyTable</vt:lpstr>
      <vt:lpstr>Solver!RoughCarpentryMapleTable</vt:lpstr>
      <vt:lpstr>'Solver (Ex1)'!RoughCarpentryMapleTable</vt:lpstr>
      <vt:lpstr>'Solver (Ex2)'!RoughCarpentryMapleTable</vt:lpstr>
      <vt:lpstr>'Solver (Ex3)'!RoughCarpentryMapleTable</vt:lpstr>
      <vt:lpstr>'Solver (Ex4)'!RoughCarpentryMapleTable</vt:lpstr>
      <vt:lpstr>'Solver (Ex2)'!RoughCarpentryPlywoodTable</vt:lpstr>
      <vt:lpstr>'Solver (Ex3)'!RoughCarpentryPlywoodTable</vt:lpstr>
      <vt:lpstr>'Solver (Ex4)'!RoughCarpentryPlywoodTable</vt:lpstr>
      <vt:lpstr>'Data Entry'!SubTotal1</vt:lpstr>
      <vt:lpstr>'Data Entry'!SubTotal2</vt:lpstr>
      <vt:lpstr>'Data Entry'!SubTotal3</vt:lpstr>
      <vt:lpstr>'Data Entry'!SubTotal4</vt:lpstr>
      <vt:lpstr>'Goal Seek'!Terms</vt:lpstr>
      <vt:lpstr>'Data Table (1 Var)'!TotalCosts</vt:lpstr>
      <vt:lpstr>'Data Table (2 Var)'!TotalCosts</vt:lpstr>
      <vt:lpstr>'Data Table (1 Var)'!TotalExpensus</vt:lpstr>
      <vt:lpstr>'Data Table (2 Var)'!TotalExpensus</vt:lpstr>
      <vt:lpstr>Solver!TotalFinishWorkHours</vt:lpstr>
      <vt:lpstr>'Solver (Ex1)'!TotalFinishWorkHours</vt:lpstr>
      <vt:lpstr>'Solver (Ex2)'!TotalFinishWorkHours</vt:lpstr>
      <vt:lpstr>'Solver (Ex3)'!TotalFinishWorkHours</vt:lpstr>
      <vt:lpstr>'Solver (Ex4)'!TotalFinishWorkHours</vt:lpstr>
      <vt:lpstr>'Data Table (1 Var)'!TotalIncome</vt:lpstr>
      <vt:lpstr>'Data Table (2 Var)'!TotalIncome</vt:lpstr>
      <vt:lpstr>Solver!TotalRevenue</vt:lpstr>
      <vt:lpstr>'Solver (Ex1)'!TotalRevenue</vt:lpstr>
      <vt:lpstr>'Solver (Ex2)'!TotalRevenue</vt:lpstr>
      <vt:lpstr>'Solver (Ex3)'!TotalRevenue</vt:lpstr>
      <vt:lpstr>'Solver (Ex4)'!TotalRevenue</vt:lpstr>
      <vt:lpstr>Solver!TotalRoughWorkHours</vt:lpstr>
      <vt:lpstr>'Solver (Ex1)'!TotalRoughWorkHours</vt:lpstr>
      <vt:lpstr>'Solver (Ex2)'!TotalRoughWorkHours</vt:lpstr>
      <vt:lpstr>'Solver (Ex3)'!TotalRoughWorkHours</vt:lpstr>
      <vt:lpstr>'Solver (Ex4)'!TotalRoughWorkHours</vt:lpstr>
      <vt:lpstr>Solver!TotalTablesAssembled</vt:lpstr>
      <vt:lpstr>'Solver (Ex1)'!TotalTablesAssembled</vt:lpstr>
      <vt:lpstr>'Solver (Ex2)'!TotalTablesAssembled</vt:lpstr>
      <vt:lpstr>'Solver (Ex3)'!TotalTablesAssembled</vt:lpstr>
      <vt:lpstr>'Solver (Ex4)'!TotalTablesAssembled</vt:lpstr>
      <vt:lpstr>'Data Entry'!UnitPrice</vt:lpstr>
      <vt:lpstr>'Data Table (1 Var)'!Utilities</vt:lpstr>
      <vt:lpstr>'Data Table (2 Var)'!Utilities</vt:lpstr>
      <vt:lpstr>'Data Table (1 Var)'!Wages</vt:lpstr>
      <vt:lpstr>'Data Table (2 Var)'!Wages</vt:lpstr>
      <vt:lpstr>'Solver (Ex3)'!WarehouseCapacity</vt:lpstr>
      <vt:lpstr>'Solver (Ex4)'!WarehouseCapacity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ckleng@info-trek.com</cp:lastModifiedBy>
  <dcterms:created xsi:type="dcterms:W3CDTF">2020-08-10T01:33:42Z</dcterms:created>
  <dcterms:modified xsi:type="dcterms:W3CDTF">2025-07-17T08:29:01Z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93cbb42a-f49a-4847-8811-6d757ed085ad</vt:lpwstr>
  </property>
</Properties>
</file>